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D4BAA1B-58E5-4F7B-8CBE-F8C410342AC2}" xr6:coauthVersionLast="36" xr6:coauthVersionMax="36" xr10:uidLastSave="{00000000-0000-0000-0000-000000000000}"/>
  <bookViews>
    <workbookView xWindow="0" yWindow="0" windowWidth="21570" windowHeight="10500" activeTab="1" xr2:uid="{BFBD9EDE-FC47-49BF-96FE-182E73BB21C3}"/>
  </bookViews>
  <sheets>
    <sheet name="Main" sheetId="1" r:id="rId1"/>
    <sheet name="Financial Model" sheetId="2" r:id="rId2"/>
    <sheet name="Order &amp; Backlo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8" i="2" l="1"/>
  <c r="T118" i="2"/>
  <c r="S115" i="2"/>
  <c r="S116" i="2" s="1"/>
  <c r="T115" i="2"/>
  <c r="T116" i="2" s="1"/>
  <c r="S103" i="2" l="1"/>
  <c r="R37" i="2"/>
  <c r="R36" i="2"/>
  <c r="R35" i="2"/>
  <c r="R34" i="2"/>
  <c r="R26" i="2"/>
  <c r="R23" i="2"/>
  <c r="R21" i="2"/>
  <c r="R18" i="2"/>
  <c r="R11" i="2"/>
  <c r="S37" i="2"/>
  <c r="S36" i="2"/>
  <c r="S35" i="2"/>
  <c r="S34" i="2"/>
  <c r="S26" i="2"/>
  <c r="S23" i="2"/>
  <c r="S21" i="2"/>
  <c r="S11" i="2"/>
  <c r="S18" i="2"/>
  <c r="S30" i="2"/>
  <c r="S31" i="2"/>
  <c r="T31" i="2"/>
  <c r="P31" i="2"/>
  <c r="O37" i="2"/>
  <c r="O36" i="2"/>
  <c r="O35" i="2"/>
  <c r="O34" i="2"/>
  <c r="O26" i="2"/>
  <c r="O23" i="2"/>
  <c r="O21" i="2"/>
  <c r="O18" i="2"/>
  <c r="O11" i="2"/>
  <c r="T105" i="2" l="1"/>
  <c r="T106" i="2"/>
  <c r="C10" i="1" s="1"/>
  <c r="C26" i="1"/>
  <c r="T103" i="2"/>
  <c r="C33" i="1" s="1"/>
  <c r="T110" i="2"/>
  <c r="S107" i="2"/>
  <c r="S106" i="2"/>
  <c r="T97" i="2"/>
  <c r="T102" i="2" s="1"/>
  <c r="S97" i="2"/>
  <c r="S100" i="2" s="1"/>
  <c r="T88" i="2"/>
  <c r="T62" i="2"/>
  <c r="T74" i="2" s="1"/>
  <c r="S88" i="2"/>
  <c r="D10" i="1"/>
  <c r="D11" i="1"/>
  <c r="D9" i="1"/>
  <c r="S105" i="2"/>
  <c r="C9" i="1" s="1"/>
  <c r="P88" i="2"/>
  <c r="P62" i="2"/>
  <c r="D7" i="1"/>
  <c r="S41" i="2"/>
  <c r="S42" i="2"/>
  <c r="P41" i="2"/>
  <c r="T41" i="2"/>
  <c r="T107" i="2" l="1"/>
  <c r="T100" i="2"/>
  <c r="S102" i="2"/>
  <c r="P97" i="2"/>
  <c r="P100" i="2" s="1"/>
  <c r="P74" i="2"/>
  <c r="P102" i="2" s="1"/>
  <c r="S62" i="2"/>
  <c r="S74" i="2" s="1"/>
  <c r="S46" i="2"/>
  <c r="P46" i="2"/>
  <c r="T46" i="2"/>
  <c r="T42" i="2"/>
  <c r="P42" i="2"/>
  <c r="T30" i="2" l="1"/>
  <c r="T34" i="2"/>
  <c r="T26" i="2"/>
  <c r="T11" i="2"/>
  <c r="T18" i="2" s="1"/>
  <c r="P26" i="2"/>
  <c r="P11" i="2"/>
  <c r="P18" i="2" s="1"/>
  <c r="P21" i="2" s="1"/>
  <c r="P23" i="2" s="1"/>
  <c r="P36" i="2" s="1"/>
  <c r="C8" i="1"/>
  <c r="C11" i="1"/>
  <c r="T21" i="2" l="1"/>
  <c r="T35" i="2"/>
  <c r="P37" i="2"/>
  <c r="P35" i="2"/>
  <c r="P34" i="2"/>
  <c r="C12" i="1"/>
  <c r="T37" i="2" l="1"/>
  <c r="T23" i="2"/>
  <c r="T36" i="2" s="1"/>
</calcChain>
</file>

<file path=xl/sharedStrings.xml><?xml version="1.0" encoding="utf-8"?>
<sst xmlns="http://schemas.openxmlformats.org/spreadsheetml/2006/main" count="208" uniqueCount="181">
  <si>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</si>
  <si>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</si>
  <si>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</si>
  <si>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</si>
  <si>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</si>
  <si>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</si>
  <si>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</si>
  <si>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</si>
  <si>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</si>
  <si>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</si>
  <si>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</si>
  <si>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</si>
  <si>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</si>
  <si>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</si>
  <si>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</si>
  <si>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</si>
  <si>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</si>
  <si>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</si>
  <si>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</si>
  <si>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</si>
  <si>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</si>
  <si>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</si>
  <si>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</si>
  <si>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</si>
  <si>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</si>
  <si>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</si>
  <si>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</si>
  <si>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</si>
  <si>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</si>
  <si>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</si>
  <si>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</si>
  <si>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</si>
  <si>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</si>
  <si>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</si>
  <si>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</si>
  <si>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</si>
  <si>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</si>
  <si>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</si>
  <si>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</si>
  <si>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</si>
  <si>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</si>
  <si>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</si>
  <si>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</si>
  <si>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</si>
  <si>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</si>
  <si>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</si>
  <si>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</si>
  <si>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</si>
  <si>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</si>
  <si>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</si>
  <si>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</si>
  <si>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</si>
  <si>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</si>
  <si>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</si>
  <si>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</si>
  <si>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</si>
  <si>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</si>
  <si>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</si>
  <si>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</si>
  <si>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</si>
  <si>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</si>
  <si>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</si>
  <si>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</si>
  <si>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</si>
  <si>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</si>
  <si>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</si>
  <si>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</si>
  <si>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</si>
  <si>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</si>
  <si>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</si>
  <si>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</si>
  <si>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</si>
  <si>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</si>
  <si>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</si>
  <si>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</si>
  <si>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</si>
  <si>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</si>
  <si>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</si>
  <si>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</si>
  <si>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</si>
  <si>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</si>
  <si>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</si>
  <si>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</si>
  <si>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</si>
  <si>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</si>
  <si>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</si>
  <si>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</si>
  <si>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</si>
  <si>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</si>
  <si>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</si>
  <si>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</si>
  <si>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</si>
  <si>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</si>
  <si>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</si>
  <si>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</si>
  <si>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</si>
  <si>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</si>
  <si>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</si>
  <si>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</si>
  <si>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</si>
  <si>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</si>
  <si>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</si>
  <si>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</si>
  <si>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</si>
  <si>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</si>
  <si>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</si>
  <si>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</si>
  <si>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</si>
  <si>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</si>
  <si>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</si>
  <si>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</si>
  <si>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</si>
  <si>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</si>
  <si>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</si>
  <si>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</si>
  <si>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</si>
  <si>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</si>
  <si>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</si>
  <si>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</si>
  <si>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</si>
  <si>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</si>
  <si>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</si>
  <si>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</si>
  <si>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</si>
  <si>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</si>
  <si>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</si>
  <si>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</si>
  <si>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</si>
  <si>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</si>
  <si>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</si>
  <si>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</si>
  <si>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</si>
  <si>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</si>
  <si>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</si>
  <si>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</si>
  <si>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</si>
  <si>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</si>
  <si>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</si>
  <si>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</si>
  <si>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</si>
  <si>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</si>
  <si>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</si>
  <si>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</si>
  <si>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</si>
  <si>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</si>
  <si>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</si>
  <si>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</si>
  <si>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</si>
  <si>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</si>
  <si>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</si>
  <si>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</si>
  <si>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</si>
  <si>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</si>
  <si>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</si>
  <si>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</si>
  <si>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</si>
  <si>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</si>
  <si>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</si>
  <si>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</si>
  <si>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</si>
  <si>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</si>
  <si>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</si>
  <si>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</si>
  <si>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</si>
  <si>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</si>
  <si>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</si>
  <si>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</si>
  <si>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</si>
  <si>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</si>
  <si>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</si>
  <si>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</si>
  <si>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</si>
  <si>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</si>
  <si>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</si>
  <si>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</si>
  <si>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</si>
  <si>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</si>
  <si>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https://api.mziq.com/mzfilemanager/v2/d/12a56b3a-7b37-4dba-b80a-f3358bf66b71/0552e176-6b29-4f1c-820c-8020af5b31eb?origin=1</t>
  </si>
  <si>
    <t>Share Price</t>
  </si>
  <si>
    <t>Market Cap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</si>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</sst>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0"/>
    <numFmt numFmtId="168" formatCode="0.0\x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8" xfId="0" applyFont="1" applyFill="1" applyBorder="1"/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3" fillId="4" borderId="0" xfId="0" applyFont="1" applyFill="1" applyBorder="1"/>
    <xf numFmtId="0" fontId="3" fillId="4" borderId="5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168" fontId="3" fillId="4" borderId="0" xfId="0" applyNumberFormat="1" applyFont="1" applyFill="1" applyBorder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left" indent="1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8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132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14026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0</xdr:rowOff>
    </xdr:from>
    <xdr:to>
      <xdr:col>28</xdr:col>
      <xdr:colOff>0</xdr:colOff>
      <xdr:row>115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73700" y="0"/>
          <a:ext cx="0" cy="177641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i.embraer.com.br/en/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X42"/>
  <sheetViews>
    <sheetView workbookViewId="0">
      <selection activeCell="N11" sqref="N11"/>
    </sheetView>
  </sheetViews>
  <sheetFormatPr defaultRowHeight="12.75" x14ac:dyDescent="0.2"/>
  <cols>
    <col min="1" max="16384" width="9.140625" style="3"/>
  </cols>
  <sheetData>
    <row r="2" spans="1:24" ht="15" x14ac:dyDescent="0.25">
      <c r="B2" s="1" t="s">
        <v>0</v>
      </c>
      <c r="D2"/>
    </row>
    <row r="3" spans="1:24" x14ac:dyDescent="0.2">
      <c r="B3" s="2" t="s">
        <v>1</v>
      </c>
    </row>
    <row r="5" spans="1:24" x14ac:dyDescent="0.2">
      <c r="B5" s="44" t="s">
        <v>2</v>
      </c>
      <c r="C5" s="45"/>
      <c r="D5" s="46"/>
      <c r="G5" s="44" t="s">
        <v>10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6"/>
      <c r="U5" s="44" t="s">
        <v>133</v>
      </c>
      <c r="V5" s="45"/>
      <c r="W5" s="45"/>
      <c r="X5" s="46"/>
    </row>
    <row r="6" spans="1:24" x14ac:dyDescent="0.2">
      <c r="B6" s="4" t="s">
        <v>3</v>
      </c>
      <c r="C6" s="5">
        <v>9.84</v>
      </c>
      <c r="D6" s="18"/>
      <c r="G6" s="9">
        <v>44470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</row>
    <row r="7" spans="1:24" x14ac:dyDescent="0.2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59" t="s">
        <v>84</v>
      </c>
      <c r="V7" s="37"/>
      <c r="W7" s="37"/>
      <c r="X7" s="38"/>
    </row>
    <row r="8" spans="1:24" x14ac:dyDescent="0.2">
      <c r="B8" s="4" t="s">
        <v>5</v>
      </c>
      <c r="C8" s="12">
        <f>C6*C7</f>
        <v>7228.4639999999999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58" t="s">
        <v>137</v>
      </c>
      <c r="V8" s="37"/>
      <c r="W8" s="37"/>
      <c r="X8" s="38"/>
    </row>
    <row r="9" spans="1:24" x14ac:dyDescent="0.2">
      <c r="B9" s="4" t="s">
        <v>6</v>
      </c>
      <c r="C9" s="12">
        <f>'Financial Model'!S105</f>
        <v>2102.6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60" t="s">
        <v>151</v>
      </c>
      <c r="V9" s="37"/>
      <c r="W9" s="37"/>
      <c r="X9" s="38"/>
    </row>
    <row r="10" spans="1:24" x14ac:dyDescent="0.2">
      <c r="B10" s="4" t="s">
        <v>7</v>
      </c>
      <c r="C10" s="12">
        <f>'Financial Model'!T106</f>
        <v>3173.8999999999996</v>
      </c>
      <c r="D10" s="18" t="str">
        <f>$C$28</f>
        <v>Q222</v>
      </c>
      <c r="G10" s="9">
        <v>44470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60" t="s">
        <v>152</v>
      </c>
      <c r="V10" s="37"/>
      <c r="W10" s="37"/>
      <c r="X10" s="38"/>
    </row>
    <row r="11" spans="1:24" x14ac:dyDescent="0.2">
      <c r="B11" s="4" t="s">
        <v>8</v>
      </c>
      <c r="C11" s="12">
        <f>C9-C10</f>
        <v>-1071.2999999999997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60" t="s">
        <v>153</v>
      </c>
      <c r="V11" s="37"/>
      <c r="W11" s="37"/>
      <c r="X11" s="38"/>
    </row>
    <row r="12" spans="1:24" x14ac:dyDescent="0.2">
      <c r="B12" s="6" t="s">
        <v>9</v>
      </c>
      <c r="C12" s="13">
        <f>C8-C11</f>
        <v>8299.7639999999992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4" x14ac:dyDescent="0.2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58" t="s">
        <v>138</v>
      </c>
      <c r="V13" s="37"/>
      <c r="W13" s="37"/>
      <c r="X13" s="38"/>
    </row>
    <row r="14" spans="1:24" x14ac:dyDescent="0.2">
      <c r="G14" s="10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60" t="s">
        <v>154</v>
      </c>
      <c r="V14" s="37"/>
      <c r="W14" s="37"/>
      <c r="X14" s="38"/>
    </row>
    <row r="15" spans="1:24" x14ac:dyDescent="0.2">
      <c r="B15" s="44" t="s">
        <v>14</v>
      </c>
      <c r="C15" s="45"/>
      <c r="D15" s="46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60" t="s">
        <v>155</v>
      </c>
      <c r="V15" s="37"/>
      <c r="W15" s="37"/>
      <c r="X15" s="38"/>
    </row>
    <row r="16" spans="1:24" x14ac:dyDescent="0.2">
      <c r="A16" s="14" t="s">
        <v>16</v>
      </c>
      <c r="B16" s="16" t="s">
        <v>15</v>
      </c>
      <c r="C16" s="47" t="s">
        <v>18</v>
      </c>
      <c r="D16" s="48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60" t="s">
        <v>156</v>
      </c>
      <c r="V16" s="37"/>
      <c r="W16" s="37"/>
      <c r="X16" s="38"/>
    </row>
    <row r="17" spans="2:24" x14ac:dyDescent="0.2">
      <c r="B17" s="16" t="s">
        <v>17</v>
      </c>
      <c r="C17" s="47" t="s">
        <v>19</v>
      </c>
      <c r="D17" s="48"/>
      <c r="G17" s="9">
        <v>43922</v>
      </c>
      <c r="H17" s="37" t="s">
        <v>164</v>
      </c>
      <c r="I17" s="37"/>
      <c r="J17" s="37"/>
      <c r="K17" s="37"/>
      <c r="L17" s="37"/>
      <c r="M17" s="37"/>
      <c r="N17" s="37"/>
      <c r="O17" s="37"/>
      <c r="P17" s="37"/>
      <c r="Q17" s="37"/>
      <c r="R17" s="38"/>
      <c r="U17" s="42"/>
      <c r="V17" s="37"/>
      <c r="W17" s="37"/>
      <c r="X17" s="38"/>
    </row>
    <row r="18" spans="2:24" x14ac:dyDescent="0.2">
      <c r="B18" s="16"/>
      <c r="C18" s="47"/>
      <c r="D18" s="48"/>
      <c r="G18" s="10"/>
      <c r="H18" s="8" t="s">
        <v>169</v>
      </c>
      <c r="I18" s="37"/>
      <c r="J18" s="37"/>
      <c r="K18" s="37"/>
      <c r="L18" s="37"/>
      <c r="M18" s="37"/>
      <c r="N18" s="37"/>
      <c r="O18" s="37"/>
      <c r="P18" s="37"/>
      <c r="Q18" s="37"/>
      <c r="R18" s="38"/>
      <c r="U18" s="59" t="s">
        <v>139</v>
      </c>
      <c r="V18" s="37"/>
      <c r="W18" s="37"/>
      <c r="X18" s="38"/>
    </row>
    <row r="19" spans="2:24" x14ac:dyDescent="0.2">
      <c r="B19" s="17"/>
      <c r="C19" s="49"/>
      <c r="D19" s="50"/>
      <c r="G19" s="10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64" t="s">
        <v>31</v>
      </c>
      <c r="U19" s="58" t="s">
        <v>142</v>
      </c>
      <c r="V19" s="37"/>
      <c r="W19" s="37"/>
      <c r="X19" s="38"/>
    </row>
    <row r="20" spans="2:24" x14ac:dyDescent="0.2">
      <c r="G20" s="10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U20" s="58" t="s">
        <v>141</v>
      </c>
      <c r="V20" s="37"/>
      <c r="W20" s="37"/>
      <c r="X20" s="38"/>
    </row>
    <row r="21" spans="2:24" x14ac:dyDescent="0.2">
      <c r="G21" s="10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U21" s="58" t="s">
        <v>140</v>
      </c>
      <c r="V21" s="37"/>
      <c r="W21" s="37"/>
      <c r="X21" s="38"/>
    </row>
    <row r="22" spans="2:24" x14ac:dyDescent="0.2">
      <c r="B22" s="44" t="s">
        <v>20</v>
      </c>
      <c r="C22" s="45"/>
      <c r="D22" s="46"/>
      <c r="G22" s="10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8"/>
      <c r="U22" s="58" t="s">
        <v>157</v>
      </c>
      <c r="V22" s="37"/>
      <c r="W22" s="37"/>
      <c r="X22" s="38"/>
    </row>
    <row r="23" spans="2:24" x14ac:dyDescent="0.2">
      <c r="B23" s="10" t="s">
        <v>21</v>
      </c>
      <c r="C23" s="47" t="s">
        <v>132</v>
      </c>
      <c r="D23" s="48"/>
      <c r="G23" s="10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8"/>
      <c r="U23" s="42"/>
      <c r="V23" s="37"/>
      <c r="W23" s="37"/>
      <c r="X23" s="38"/>
    </row>
    <row r="24" spans="2:24" x14ac:dyDescent="0.2">
      <c r="B24" s="10" t="s">
        <v>22</v>
      </c>
      <c r="C24" s="47">
        <v>1969</v>
      </c>
      <c r="D24" s="48"/>
      <c r="G24" s="10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U24" s="59" t="s">
        <v>143</v>
      </c>
      <c r="V24" s="37"/>
      <c r="W24" s="37"/>
      <c r="X24" s="38"/>
    </row>
    <row r="25" spans="2:24" x14ac:dyDescent="0.2">
      <c r="B25" s="10"/>
      <c r="C25" s="47"/>
      <c r="D25" s="48"/>
      <c r="G25" s="9">
        <v>43770</v>
      </c>
      <c r="H25" s="37" t="s">
        <v>167</v>
      </c>
      <c r="I25" s="37"/>
      <c r="J25" s="37"/>
      <c r="K25" s="37"/>
      <c r="L25" s="37"/>
      <c r="M25" s="37"/>
      <c r="N25" s="37"/>
      <c r="O25" s="37"/>
      <c r="P25" s="37"/>
      <c r="Q25" s="37"/>
      <c r="R25" s="38"/>
      <c r="U25" s="58" t="s">
        <v>144</v>
      </c>
      <c r="V25" s="37"/>
      <c r="W25" s="37"/>
      <c r="X25" s="38"/>
    </row>
    <row r="26" spans="2:24" x14ac:dyDescent="0.2">
      <c r="B26" s="10" t="s">
        <v>171</v>
      </c>
      <c r="C26" s="70">
        <f>'Financial Model'!T58</f>
        <v>2392.9</v>
      </c>
      <c r="D26" s="71"/>
      <c r="G26" s="10"/>
      <c r="H26" s="63" t="s">
        <v>168</v>
      </c>
      <c r="I26" s="37"/>
      <c r="J26" s="37"/>
      <c r="K26" s="37"/>
      <c r="L26" s="37"/>
      <c r="M26" s="37"/>
      <c r="N26" s="37"/>
      <c r="O26" s="37"/>
      <c r="P26" s="37"/>
      <c r="Q26" s="37"/>
      <c r="R26" s="38"/>
      <c r="U26" s="58" t="s">
        <v>145</v>
      </c>
      <c r="V26" s="37"/>
      <c r="W26" s="37"/>
      <c r="X26" s="38"/>
    </row>
    <row r="27" spans="2:24" x14ac:dyDescent="0.2">
      <c r="B27" s="10"/>
      <c r="C27" s="47"/>
      <c r="D27" s="48"/>
      <c r="G27" s="10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58" t="s">
        <v>146</v>
      </c>
      <c r="V27" s="37"/>
      <c r="W27" s="37"/>
      <c r="X27" s="38"/>
    </row>
    <row r="28" spans="2:24" x14ac:dyDescent="0.2">
      <c r="B28" s="10" t="s">
        <v>23</v>
      </c>
      <c r="C28" s="31" t="s">
        <v>49</v>
      </c>
      <c r="D28" s="32">
        <v>44777</v>
      </c>
      <c r="G28" s="9">
        <v>43586</v>
      </c>
      <c r="H28" s="37" t="s">
        <v>166</v>
      </c>
      <c r="I28" s="37"/>
      <c r="J28" s="37"/>
      <c r="K28" s="37"/>
      <c r="L28" s="37"/>
      <c r="M28" s="37"/>
      <c r="N28" s="37"/>
      <c r="O28" s="37"/>
      <c r="P28" s="37"/>
      <c r="Q28" s="37" t="s">
        <v>180</v>
      </c>
      <c r="R28" s="38"/>
      <c r="U28" s="58" t="s">
        <v>147</v>
      </c>
      <c r="V28" s="37"/>
      <c r="W28" s="37"/>
      <c r="X28" s="38"/>
    </row>
    <row r="29" spans="2:24" x14ac:dyDescent="0.2">
      <c r="B29" s="11" t="s">
        <v>24</v>
      </c>
      <c r="C29" s="53" t="s">
        <v>31</v>
      </c>
      <c r="D29" s="54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8"/>
      <c r="U29" s="42"/>
      <c r="V29" s="37"/>
      <c r="W29" s="37"/>
      <c r="X29" s="38"/>
    </row>
    <row r="30" spans="2:24" x14ac:dyDescent="0.2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 x14ac:dyDescent="0.2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59" t="s">
        <v>149</v>
      </c>
      <c r="V31" s="37"/>
      <c r="W31" s="37"/>
      <c r="X31" s="38"/>
    </row>
    <row r="32" spans="2:24" x14ac:dyDescent="0.2">
      <c r="B32" s="44" t="s">
        <v>25</v>
      </c>
      <c r="C32" s="45"/>
      <c r="D32" s="46"/>
      <c r="G32" s="10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58" t="s">
        <v>150</v>
      </c>
      <c r="V32" s="37"/>
      <c r="W32" s="37"/>
      <c r="X32" s="38"/>
    </row>
    <row r="33" spans="2:24" x14ac:dyDescent="0.2">
      <c r="B33" s="10" t="s">
        <v>26</v>
      </c>
      <c r="C33" s="67">
        <f>C6/'Financial Model'!T103</f>
        <v>2.5162613569116163</v>
      </c>
      <c r="D33" s="68"/>
      <c r="G33" s="10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 x14ac:dyDescent="0.2">
      <c r="B34" s="10" t="s">
        <v>27</v>
      </c>
      <c r="C34" s="55"/>
      <c r="D34" s="56"/>
      <c r="G34" s="9">
        <v>43282</v>
      </c>
      <c r="H34" s="37" t="s">
        <v>162</v>
      </c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 x14ac:dyDescent="0.2">
      <c r="B35" s="11" t="s">
        <v>28</v>
      </c>
      <c r="C35" s="51"/>
      <c r="D35" s="52"/>
      <c r="G35" s="10"/>
      <c r="H35" s="8" t="s">
        <v>163</v>
      </c>
      <c r="I35" s="37"/>
      <c r="J35" s="37"/>
      <c r="K35" s="37"/>
      <c r="L35" s="37"/>
      <c r="M35" s="37"/>
      <c r="N35" s="37"/>
      <c r="O35" s="37"/>
      <c r="P35" s="37"/>
      <c r="Q35" s="37"/>
      <c r="R35" s="38"/>
    </row>
    <row r="36" spans="2:24" x14ac:dyDescent="0.2">
      <c r="G36" s="11"/>
      <c r="H36" s="69" t="s">
        <v>165</v>
      </c>
      <c r="I36" s="35"/>
      <c r="J36" s="35"/>
      <c r="K36" s="35"/>
      <c r="L36" s="35"/>
      <c r="M36" s="35"/>
      <c r="N36" s="35"/>
      <c r="O36" s="35"/>
      <c r="P36" s="35"/>
      <c r="Q36" s="35"/>
      <c r="R36" s="36"/>
    </row>
    <row r="37" spans="2:24" x14ac:dyDescent="0.2">
      <c r="U37" s="44" t="s">
        <v>158</v>
      </c>
      <c r="V37" s="45"/>
      <c r="W37" s="45"/>
      <c r="X37" s="46"/>
    </row>
    <row r="38" spans="2:24" x14ac:dyDescent="0.2">
      <c r="U38" s="42" t="s">
        <v>159</v>
      </c>
      <c r="V38" s="37"/>
      <c r="W38" s="37"/>
      <c r="X38" s="38"/>
    </row>
    <row r="39" spans="2:24" x14ac:dyDescent="0.2">
      <c r="U39" s="57" t="s">
        <v>160</v>
      </c>
      <c r="V39" s="37"/>
      <c r="W39" s="37"/>
      <c r="X39" s="38"/>
    </row>
    <row r="40" spans="2:24" x14ac:dyDescent="0.2">
      <c r="U40" s="57" t="s">
        <v>161</v>
      </c>
      <c r="V40" s="37"/>
      <c r="W40" s="37"/>
      <c r="X40" s="38"/>
    </row>
    <row r="41" spans="2:24" x14ac:dyDescent="0.2">
      <c r="U41" s="42"/>
      <c r="V41" s="37"/>
      <c r="W41" s="37"/>
      <c r="X41" s="38"/>
    </row>
    <row r="42" spans="2:24" x14ac:dyDescent="0.2">
      <c r="U42" s="43"/>
      <c r="V42" s="35"/>
      <c r="W42" s="35"/>
      <c r="X42" s="36"/>
    </row>
  </sheetData>
  <mergeCells count="20">
    <mergeCell ref="U37:X37"/>
    <mergeCell ref="C35:D35"/>
    <mergeCell ref="C27:D27"/>
    <mergeCell ref="C29:D29"/>
    <mergeCell ref="B32:D32"/>
    <mergeCell ref="C33:D33"/>
    <mergeCell ref="C34:D34"/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19" r:id="rId4" location="Boeing_Embraer_-_Defense" xr:uid="{CC492105-8696-4FC6-849B-A673602C4CB8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2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4" sqref="V4:V8"/>
    </sheetView>
  </sheetViews>
  <sheetFormatPr defaultRowHeight="12.75" x14ac:dyDescent="0.2"/>
  <cols>
    <col min="1" max="1" width="4" style="3" customWidth="1"/>
    <col min="2" max="2" width="30.85546875" style="3" bestFit="1" customWidth="1"/>
    <col min="3" max="16384" width="9.140625" style="3"/>
  </cols>
  <sheetData>
    <row r="1" spans="2:38" s="15" customFormat="1" x14ac:dyDescent="0.2">
      <c r="B1" s="66" t="s">
        <v>170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Y1" s="15" t="s">
        <v>77</v>
      </c>
      <c r="Z1" s="15" t="s">
        <v>78</v>
      </c>
      <c r="AA1" s="15" t="s">
        <v>79</v>
      </c>
      <c r="AB1" s="15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 x14ac:dyDescent="0.2">
      <c r="B2" s="20"/>
      <c r="O2" s="22">
        <v>44286</v>
      </c>
      <c r="P2" s="22">
        <v>44377</v>
      </c>
      <c r="R2" s="22">
        <v>44196</v>
      </c>
      <c r="S2" s="22">
        <v>44651</v>
      </c>
      <c r="T2" s="22">
        <v>44742</v>
      </c>
    </row>
    <row r="3" spans="2:38" s="21" customFormat="1" x14ac:dyDescent="0.2">
      <c r="B3" s="20"/>
      <c r="P3" s="23"/>
      <c r="S3" s="23">
        <v>44679</v>
      </c>
      <c r="T3" s="23">
        <v>44777</v>
      </c>
    </row>
    <row r="4" spans="2:38" s="65" customFormat="1" x14ac:dyDescent="0.2">
      <c r="B4" s="72" t="s">
        <v>172</v>
      </c>
      <c r="O4" s="65">
        <v>272.2</v>
      </c>
      <c r="P4" s="65">
        <v>388.5</v>
      </c>
      <c r="R4" s="65">
        <v>413.7</v>
      </c>
      <c r="S4" s="65">
        <v>169.2</v>
      </c>
      <c r="T4" s="65">
        <v>299.89999999999998</v>
      </c>
    </row>
    <row r="5" spans="2:38" s="65" customFormat="1" x14ac:dyDescent="0.2">
      <c r="B5" s="72" t="s">
        <v>173</v>
      </c>
      <c r="O5" s="65">
        <v>152.1</v>
      </c>
      <c r="P5" s="65">
        <v>266.2</v>
      </c>
      <c r="R5" s="65">
        <v>455.4</v>
      </c>
      <c r="S5" s="65">
        <v>89.9</v>
      </c>
      <c r="T5" s="65">
        <v>266.7</v>
      </c>
    </row>
    <row r="6" spans="2:38" s="65" customFormat="1" x14ac:dyDescent="0.2">
      <c r="B6" s="72" t="s">
        <v>174</v>
      </c>
      <c r="O6" s="65">
        <v>128.5</v>
      </c>
      <c r="P6" s="65">
        <v>174.9</v>
      </c>
      <c r="R6" s="65">
        <v>114.5</v>
      </c>
      <c r="S6" s="65">
        <v>68.3</v>
      </c>
      <c r="T6" s="65">
        <v>126.6</v>
      </c>
    </row>
    <row r="7" spans="2:38" s="65" customFormat="1" x14ac:dyDescent="0.2">
      <c r="B7" s="72" t="s">
        <v>175</v>
      </c>
      <c r="O7" s="65">
        <v>250.6</v>
      </c>
      <c r="P7" s="65">
        <v>298</v>
      </c>
      <c r="R7" s="65">
        <v>307.39999999999998</v>
      </c>
      <c r="S7" s="65">
        <v>271.2</v>
      </c>
      <c r="T7" s="65">
        <v>320.10000000000002</v>
      </c>
    </row>
    <row r="8" spans="2:38" s="65" customFormat="1" x14ac:dyDescent="0.2">
      <c r="B8" s="72" t="s">
        <v>176</v>
      </c>
      <c r="O8" s="65">
        <v>3.9</v>
      </c>
      <c r="P8" s="65">
        <v>2.9</v>
      </c>
      <c r="R8" s="65">
        <v>10.3</v>
      </c>
      <c r="S8" s="65">
        <v>2.2999999999999998</v>
      </c>
      <c r="T8" s="65">
        <v>5.6</v>
      </c>
    </row>
    <row r="9" spans="2:38" s="26" customFormat="1" x14ac:dyDescent="0.2">
      <c r="B9" s="26" t="s">
        <v>50</v>
      </c>
      <c r="C9" s="73"/>
      <c r="O9" s="26">
        <v>807.3</v>
      </c>
      <c r="P9" s="26">
        <v>1130.5</v>
      </c>
      <c r="R9" s="26">
        <v>1301.3</v>
      </c>
      <c r="S9" s="26">
        <v>600.9</v>
      </c>
      <c r="T9" s="26">
        <v>1018.9</v>
      </c>
    </row>
    <row r="10" spans="2:38" x14ac:dyDescent="0.2">
      <c r="B10" s="3" t="s">
        <v>51</v>
      </c>
      <c r="O10" s="3">
        <v>730.9</v>
      </c>
      <c r="P10" s="27">
        <v>924.8</v>
      </c>
      <c r="R10" s="3">
        <v>1105.5</v>
      </c>
      <c r="S10" s="3">
        <v>480.2</v>
      </c>
      <c r="T10" s="27">
        <v>785.6</v>
      </c>
    </row>
    <row r="11" spans="2:38" s="2" customFormat="1" x14ac:dyDescent="0.2">
      <c r="B11" s="2" t="s">
        <v>52</v>
      </c>
      <c r="O11" s="26">
        <f>O9-O10</f>
        <v>76.399999999999977</v>
      </c>
      <c r="P11" s="26">
        <f>P9-P10</f>
        <v>205.70000000000005</v>
      </c>
      <c r="R11" s="26">
        <f>R9-R10</f>
        <v>195.79999999999995</v>
      </c>
      <c r="S11" s="26">
        <f>S9-S10</f>
        <v>120.69999999999999</v>
      </c>
      <c r="T11" s="26">
        <f>T9-T10</f>
        <v>233.29999999999995</v>
      </c>
    </row>
    <row r="12" spans="2:38" x14ac:dyDescent="0.2">
      <c r="B12" s="3" t="s">
        <v>54</v>
      </c>
      <c r="O12" s="3">
        <v>34.4</v>
      </c>
      <c r="P12" s="27">
        <v>40.799999999999997</v>
      </c>
      <c r="R12" s="3">
        <v>42.3</v>
      </c>
      <c r="S12" s="3">
        <v>39.700000000000003</v>
      </c>
      <c r="T12" s="27">
        <v>43.9</v>
      </c>
    </row>
    <row r="13" spans="2:38" x14ac:dyDescent="0.2">
      <c r="B13" s="3" t="s">
        <v>55</v>
      </c>
      <c r="O13" s="3">
        <v>45.8</v>
      </c>
      <c r="P13" s="27">
        <v>50.2</v>
      </c>
      <c r="R13" s="3">
        <v>70.7</v>
      </c>
      <c r="S13" s="3">
        <v>53.8</v>
      </c>
      <c r="T13" s="27">
        <v>67.400000000000006</v>
      </c>
    </row>
    <row r="14" spans="2:38" x14ac:dyDescent="0.2">
      <c r="B14" s="3" t="s">
        <v>56</v>
      </c>
      <c r="O14" s="3">
        <v>0.1</v>
      </c>
      <c r="P14" s="27">
        <v>-2.2999999999999998</v>
      </c>
      <c r="R14" s="3">
        <v>-9</v>
      </c>
      <c r="S14" s="3">
        <v>1.1000000000000001</v>
      </c>
      <c r="T14" s="27">
        <v>21.3</v>
      </c>
    </row>
    <row r="15" spans="2:38" x14ac:dyDescent="0.2">
      <c r="B15" s="3" t="s">
        <v>57</v>
      </c>
      <c r="O15" s="3">
        <v>8.4</v>
      </c>
      <c r="P15" s="27">
        <v>9.3000000000000007</v>
      </c>
      <c r="R15" s="3">
        <v>15</v>
      </c>
      <c r="S15" s="3">
        <v>17.399999999999999</v>
      </c>
      <c r="T15" s="27">
        <v>24.9</v>
      </c>
    </row>
    <row r="16" spans="2:38" x14ac:dyDescent="0.2">
      <c r="B16" s="3" t="s">
        <v>58</v>
      </c>
      <c r="O16" s="3">
        <v>-21.8</v>
      </c>
      <c r="P16" s="27">
        <v>35.5</v>
      </c>
      <c r="R16" s="3">
        <v>-14.4</v>
      </c>
      <c r="S16" s="3">
        <v>-46.2</v>
      </c>
      <c r="T16" s="27">
        <v>-13.5</v>
      </c>
    </row>
    <row r="17" spans="2:20" x14ac:dyDescent="0.2">
      <c r="B17" s="3" t="s">
        <v>59</v>
      </c>
      <c r="O17" s="3">
        <v>1</v>
      </c>
      <c r="P17" s="27">
        <v>0.6</v>
      </c>
      <c r="R17" s="3">
        <v>-1.8</v>
      </c>
      <c r="S17" s="27">
        <v>1.2</v>
      </c>
      <c r="T17" s="27">
        <v>4.4000000000000004</v>
      </c>
    </row>
    <row r="18" spans="2:20" s="2" customFormat="1" x14ac:dyDescent="0.2">
      <c r="B18" s="2" t="s">
        <v>53</v>
      </c>
      <c r="O18" s="26">
        <f>O11-O12-O13-O14-O15+O16+O17</f>
        <v>-33.100000000000023</v>
      </c>
      <c r="P18" s="26">
        <f>P11-P12-P13-P14-P15+P16+P17</f>
        <v>143.80000000000004</v>
      </c>
      <c r="R18" s="26">
        <f>R11-R12-R13-R14-R15+R16+R17</f>
        <v>60.599999999999945</v>
      </c>
      <c r="S18" s="26">
        <f>S11-S12-S13-S14-S15+S16+S17</f>
        <v>-36.300000000000011</v>
      </c>
      <c r="T18" s="26">
        <f>T11-T12-T13-T14-T15+T16+T17</f>
        <v>66.69999999999996</v>
      </c>
    </row>
    <row r="19" spans="2:20" x14ac:dyDescent="0.2">
      <c r="B19" s="3" t="s">
        <v>60</v>
      </c>
      <c r="O19" s="3">
        <v>-75.400000000000006</v>
      </c>
      <c r="P19" s="27">
        <v>-65.5</v>
      </c>
      <c r="R19" s="3">
        <v>-6.8</v>
      </c>
      <c r="S19" s="3">
        <v>-65.599999999999994</v>
      </c>
      <c r="T19" s="27">
        <v>-38</v>
      </c>
    </row>
    <row r="20" spans="2:20" x14ac:dyDescent="0.2">
      <c r="B20" s="3" t="s">
        <v>61</v>
      </c>
      <c r="O20" s="3">
        <v>19.600000000000001</v>
      </c>
      <c r="P20" s="27">
        <v>5.3</v>
      </c>
      <c r="R20" s="3">
        <v>3.9</v>
      </c>
      <c r="S20" s="3">
        <v>20.9</v>
      </c>
      <c r="T20" s="27">
        <v>20.8</v>
      </c>
    </row>
    <row r="21" spans="2:20" x14ac:dyDescent="0.2">
      <c r="B21" s="3" t="s">
        <v>62</v>
      </c>
      <c r="O21" s="27">
        <f>O18+O19+O20</f>
        <v>-88.900000000000034</v>
      </c>
      <c r="P21" s="27">
        <f>P18+P19+P20</f>
        <v>83.600000000000037</v>
      </c>
      <c r="R21" s="27">
        <f>R18+R19+R20</f>
        <v>57.699999999999946</v>
      </c>
      <c r="S21" s="27">
        <f>S18+S19+S20</f>
        <v>-81</v>
      </c>
      <c r="T21" s="27">
        <f>T18+T19+T20</f>
        <v>49.499999999999957</v>
      </c>
    </row>
    <row r="22" spans="2:20" x14ac:dyDescent="0.2">
      <c r="B22" s="3" t="s">
        <v>63</v>
      </c>
      <c r="O22" s="3">
        <v>1.1000000000000001</v>
      </c>
      <c r="P22" s="27">
        <v>-5.6</v>
      </c>
      <c r="R22" s="3">
        <v>54.7</v>
      </c>
      <c r="S22" s="3">
        <v>-50.3</v>
      </c>
      <c r="T22" s="27">
        <v>-24.6</v>
      </c>
    </row>
    <row r="23" spans="2:20" s="2" customFormat="1" x14ac:dyDescent="0.2">
      <c r="B23" s="2" t="s">
        <v>64</v>
      </c>
      <c r="O23" s="26">
        <f>O21-O22</f>
        <v>-90.000000000000028</v>
      </c>
      <c r="P23" s="26">
        <f>P21-P22</f>
        <v>89.200000000000031</v>
      </c>
      <c r="R23" s="26">
        <f>R21-R22</f>
        <v>2.9999999999999432</v>
      </c>
      <c r="S23" s="26">
        <f>S21-S22</f>
        <v>-30.700000000000003</v>
      </c>
      <c r="T23" s="26">
        <f>T21-T22</f>
        <v>74.099999999999966</v>
      </c>
    </row>
    <row r="24" spans="2:20" s="2" customFormat="1" x14ac:dyDescent="0.2">
      <c r="B24" s="29" t="s">
        <v>72</v>
      </c>
      <c r="O24" s="2">
        <v>-89.7</v>
      </c>
      <c r="P24" s="26">
        <v>87.9</v>
      </c>
      <c r="R24" s="2">
        <v>2.1</v>
      </c>
      <c r="S24" s="2">
        <v>-31.7</v>
      </c>
      <c r="T24" s="26">
        <v>74.2</v>
      </c>
    </row>
    <row r="25" spans="2:20" x14ac:dyDescent="0.2">
      <c r="B25" s="30" t="s">
        <v>73</v>
      </c>
      <c r="O25" s="3">
        <v>-0.3</v>
      </c>
      <c r="P25" s="27">
        <v>1.3</v>
      </c>
      <c r="R25" s="3">
        <v>0.9</v>
      </c>
      <c r="S25" s="27">
        <v>1</v>
      </c>
      <c r="T25" s="27">
        <v>-0.1</v>
      </c>
    </row>
    <row r="26" spans="2:20" x14ac:dyDescent="0.2">
      <c r="B26" s="3" t="s">
        <v>65</v>
      </c>
      <c r="O26" s="28">
        <f>O24/O27</f>
        <v>-0.12204081632653062</v>
      </c>
      <c r="P26" s="28">
        <f>P24/P27</f>
        <v>0.11962438758845946</v>
      </c>
      <c r="R26" s="28">
        <f>R24/R27</f>
        <v>2.8583095140873828E-3</v>
      </c>
      <c r="S26" s="28">
        <f>S24/S27</f>
        <v>-4.3152736182956709E-2</v>
      </c>
      <c r="T26" s="28">
        <f>T24/T27</f>
        <v>0.10100735093928669</v>
      </c>
    </row>
    <row r="27" spans="2:20" x14ac:dyDescent="0.2">
      <c r="B27" s="3" t="s">
        <v>4</v>
      </c>
      <c r="O27" s="27">
        <v>735</v>
      </c>
      <c r="P27" s="27">
        <v>734.8</v>
      </c>
      <c r="R27" s="3">
        <v>734.7</v>
      </c>
      <c r="S27" s="3">
        <v>734.6</v>
      </c>
      <c r="T27" s="3">
        <v>734.6</v>
      </c>
    </row>
    <row r="30" spans="2:20" s="2" customFormat="1" x14ac:dyDescent="0.2">
      <c r="B30" s="2" t="s">
        <v>66</v>
      </c>
      <c r="S30" s="34">
        <f>S9/O9-1</f>
        <v>-0.25566703827573389</v>
      </c>
      <c r="T30" s="34">
        <f>T9/P9-1</f>
        <v>-9.8717381689517936E-2</v>
      </c>
    </row>
    <row r="31" spans="2:20" s="25" customFormat="1" x14ac:dyDescent="0.2">
      <c r="B31" s="25" t="s">
        <v>67</v>
      </c>
      <c r="P31" s="25">
        <f>P9/O9-1</f>
        <v>0.40034683512944391</v>
      </c>
      <c r="S31" s="25">
        <f>S9/R9-1</f>
        <v>-0.53823099976946132</v>
      </c>
      <c r="T31" s="25">
        <f>T9/S9-1</f>
        <v>0.69562323181893837</v>
      </c>
    </row>
    <row r="34" spans="2:20" x14ac:dyDescent="0.2">
      <c r="B34" s="3" t="s">
        <v>68</v>
      </c>
      <c r="O34" s="25">
        <f>O11/O9</f>
        <v>9.4636442462529391E-2</v>
      </c>
      <c r="P34" s="25">
        <f>P11/P9</f>
        <v>0.18195488721804515</v>
      </c>
      <c r="R34" s="25">
        <f t="shared" ref="R34" si="0">R11/R9</f>
        <v>0.1504649196956889</v>
      </c>
      <c r="S34" s="25">
        <f t="shared" ref="S34:T34" si="1">S11/S9</f>
        <v>0.20086536861374604</v>
      </c>
      <c r="T34" s="25">
        <f>T11/T9</f>
        <v>0.2289724212385906</v>
      </c>
    </row>
    <row r="35" spans="2:20" x14ac:dyDescent="0.2">
      <c r="B35" s="3" t="s">
        <v>69</v>
      </c>
      <c r="O35" s="25">
        <f>O18/O9</f>
        <v>-4.1000867087823641E-2</v>
      </c>
      <c r="P35" s="25">
        <f>P18/P9</f>
        <v>0.12720035382574085</v>
      </c>
      <c r="R35" s="25">
        <f t="shared" ref="R35" si="2">R18/R9</f>
        <v>4.6568815799584988E-2</v>
      </c>
      <c r="S35" s="25">
        <f t="shared" ref="S35:T35" si="3">S18/S9</f>
        <v>-6.0409385921118344E-2</v>
      </c>
      <c r="T35" s="25">
        <f>T18/T9</f>
        <v>6.5462753950338556E-2</v>
      </c>
    </row>
    <row r="36" spans="2:20" x14ac:dyDescent="0.2">
      <c r="B36" s="3" t="s">
        <v>70</v>
      </c>
      <c r="O36" s="25">
        <f>O23/O9</f>
        <v>-0.11148272017837239</v>
      </c>
      <c r="P36" s="25">
        <f>P23/P9</f>
        <v>7.8903140203449823E-2</v>
      </c>
      <c r="R36" s="25">
        <f t="shared" ref="R36" si="4">R23/R9</f>
        <v>2.3053869207714925E-3</v>
      </c>
      <c r="S36" s="25">
        <f t="shared" ref="S36:T36" si="5">S23/S9</f>
        <v>-5.1090031619237815E-2</v>
      </c>
      <c r="T36" s="25">
        <f>T23/T9</f>
        <v>7.2725488271665487E-2</v>
      </c>
    </row>
    <row r="37" spans="2:20" x14ac:dyDescent="0.2">
      <c r="B37" s="3" t="s">
        <v>71</v>
      </c>
      <c r="O37" s="25">
        <f>O22/O21</f>
        <v>-1.2373453318335205E-2</v>
      </c>
      <c r="P37" s="25">
        <f>P22/P21</f>
        <v>-6.6985645933014315E-2</v>
      </c>
      <c r="R37" s="25">
        <f t="shared" ref="R37" si="6">R22/R21</f>
        <v>0.94800693240901301</v>
      </c>
      <c r="S37" s="25">
        <f t="shared" ref="S37:T37" si="7">S22/S21</f>
        <v>0.62098765432098757</v>
      </c>
      <c r="T37" s="25">
        <f>T22/T21</f>
        <v>-0.49696969696969745</v>
      </c>
    </row>
    <row r="40" spans="2:20" x14ac:dyDescent="0.2">
      <c r="B40" s="33" t="s">
        <v>82</v>
      </c>
    </row>
    <row r="41" spans="2:20" s="2" customFormat="1" x14ac:dyDescent="0.2">
      <c r="B41" s="29" t="s">
        <v>83</v>
      </c>
      <c r="P41" s="2">
        <f t="shared" ref="P41:S41" si="8">P42+P46</f>
        <v>34</v>
      </c>
      <c r="S41" s="2">
        <f t="shared" si="8"/>
        <v>26</v>
      </c>
      <c r="T41" s="2">
        <f>T42+T46</f>
        <v>32</v>
      </c>
    </row>
    <row r="42" spans="2:20" s="40" customFormat="1" x14ac:dyDescent="0.2">
      <c r="B42" s="62" t="s">
        <v>84</v>
      </c>
      <c r="P42" s="40">
        <f>P43+P44</f>
        <v>14</v>
      </c>
      <c r="S42" s="40">
        <f>S43+S44</f>
        <v>6</v>
      </c>
      <c r="T42" s="40">
        <f>T43+T44</f>
        <v>11</v>
      </c>
    </row>
    <row r="43" spans="2:20" s="39" customFormat="1" x14ac:dyDescent="0.2">
      <c r="B43" s="61" t="s">
        <v>85</v>
      </c>
      <c r="P43" s="39">
        <v>7</v>
      </c>
      <c r="S43" s="39">
        <v>4</v>
      </c>
      <c r="T43" s="39">
        <v>8</v>
      </c>
    </row>
    <row r="44" spans="2:20" s="39" customFormat="1" x14ac:dyDescent="0.2">
      <c r="B44" s="61" t="s">
        <v>86</v>
      </c>
      <c r="P44" s="39">
        <v>7</v>
      </c>
      <c r="S44" s="39">
        <v>2</v>
      </c>
      <c r="T44" s="39">
        <v>3</v>
      </c>
    </row>
    <row r="45" spans="2:20" s="39" customFormat="1" x14ac:dyDescent="0.2">
      <c r="B45" s="61"/>
    </row>
    <row r="46" spans="2:20" s="40" customFormat="1" x14ac:dyDescent="0.2">
      <c r="B46" s="62" t="s">
        <v>87</v>
      </c>
      <c r="P46" s="40">
        <f>P47+P48</f>
        <v>20</v>
      </c>
      <c r="S46" s="40">
        <f>S47+S48</f>
        <v>20</v>
      </c>
      <c r="T46" s="40">
        <f>T47+T48</f>
        <v>21</v>
      </c>
    </row>
    <row r="47" spans="2:20" s="39" customFormat="1" x14ac:dyDescent="0.2">
      <c r="B47" s="61" t="s">
        <v>88</v>
      </c>
      <c r="P47" s="39">
        <v>12</v>
      </c>
      <c r="S47" s="39">
        <v>12</v>
      </c>
      <c r="T47" s="39">
        <v>12</v>
      </c>
    </row>
    <row r="48" spans="2:20" s="39" customFormat="1" x14ac:dyDescent="0.2">
      <c r="B48" s="61" t="s">
        <v>89</v>
      </c>
      <c r="P48" s="39">
        <v>8</v>
      </c>
      <c r="S48" s="39">
        <v>8</v>
      </c>
      <c r="T48" s="39">
        <v>9</v>
      </c>
    </row>
    <row r="51" spans="2:20" x14ac:dyDescent="0.2">
      <c r="B51" s="33" t="s">
        <v>74</v>
      </c>
    </row>
    <row r="52" spans="2:20" s="2" customFormat="1" x14ac:dyDescent="0.2">
      <c r="B52" s="2" t="s">
        <v>6</v>
      </c>
      <c r="P52" s="26"/>
      <c r="Q52" s="26"/>
      <c r="R52" s="26"/>
      <c r="S52" s="26">
        <v>1129.8</v>
      </c>
      <c r="T52" s="26">
        <v>1041.3</v>
      </c>
    </row>
    <row r="53" spans="2:20" s="2" customFormat="1" x14ac:dyDescent="0.2">
      <c r="B53" s="2" t="s">
        <v>90</v>
      </c>
      <c r="P53" s="26"/>
      <c r="Q53" s="26"/>
      <c r="R53" s="26"/>
      <c r="S53" s="26">
        <v>802.9</v>
      </c>
      <c r="T53" s="26">
        <v>753.8</v>
      </c>
    </row>
    <row r="54" spans="2:20" x14ac:dyDescent="0.2">
      <c r="B54" s="3" t="s">
        <v>91</v>
      </c>
      <c r="P54" s="27"/>
      <c r="Q54" s="27"/>
      <c r="R54" s="27"/>
      <c r="S54" s="27">
        <v>197</v>
      </c>
      <c r="T54" s="27">
        <v>240.4</v>
      </c>
    </row>
    <row r="55" spans="2:20" x14ac:dyDescent="0.2">
      <c r="B55" s="3" t="s">
        <v>92</v>
      </c>
      <c r="P55" s="27"/>
      <c r="Q55" s="27"/>
      <c r="R55" s="27"/>
      <c r="S55" s="27">
        <v>9.6999999999999993</v>
      </c>
      <c r="T55" s="27">
        <v>2.5</v>
      </c>
    </row>
    <row r="56" spans="2:20" x14ac:dyDescent="0.2">
      <c r="B56" s="3" t="s">
        <v>93</v>
      </c>
      <c r="P56" s="27"/>
      <c r="Q56" s="27"/>
      <c r="R56" s="27"/>
      <c r="S56" s="27">
        <v>9.8000000000000007</v>
      </c>
      <c r="T56" s="27">
        <v>5.8</v>
      </c>
    </row>
    <row r="57" spans="2:20" x14ac:dyDescent="0.2">
      <c r="B57" s="3" t="s">
        <v>94</v>
      </c>
      <c r="P57" s="27"/>
      <c r="Q57" s="27"/>
      <c r="R57" s="27"/>
      <c r="S57" s="27">
        <v>615.5</v>
      </c>
      <c r="T57" s="27">
        <v>620</v>
      </c>
    </row>
    <row r="58" spans="2:20" s="2" customFormat="1" x14ac:dyDescent="0.2">
      <c r="B58" s="2" t="s">
        <v>95</v>
      </c>
      <c r="P58" s="26"/>
      <c r="Q58" s="26"/>
      <c r="R58" s="26"/>
      <c r="S58" s="26">
        <v>2222.8000000000002</v>
      </c>
      <c r="T58" s="26">
        <v>2392.9</v>
      </c>
    </row>
    <row r="59" spans="2:20" x14ac:dyDescent="0.2">
      <c r="B59" s="3" t="s">
        <v>63</v>
      </c>
      <c r="P59" s="27"/>
      <c r="Q59" s="27"/>
      <c r="R59" s="27"/>
      <c r="S59" s="27">
        <v>105</v>
      </c>
      <c r="T59" s="27">
        <v>101.9</v>
      </c>
    </row>
    <row r="60" spans="2:20" x14ac:dyDescent="0.2">
      <c r="B60" s="3" t="s">
        <v>96</v>
      </c>
      <c r="P60" s="27"/>
      <c r="Q60" s="27"/>
      <c r="R60" s="27"/>
      <c r="S60" s="27">
        <v>217</v>
      </c>
      <c r="T60" s="27">
        <v>209.3</v>
      </c>
    </row>
    <row r="61" spans="2:20" x14ac:dyDescent="0.2">
      <c r="B61" s="3" t="s">
        <v>97</v>
      </c>
      <c r="P61" s="27"/>
      <c r="Q61" s="27"/>
      <c r="R61" s="27"/>
      <c r="S61" s="27">
        <v>227.1</v>
      </c>
      <c r="T61" s="27">
        <v>0</v>
      </c>
    </row>
    <row r="62" spans="2:20" x14ac:dyDescent="0.2">
      <c r="B62" s="3" t="s">
        <v>104</v>
      </c>
      <c r="P62" s="27">
        <f>SUM(P52:P61)</f>
        <v>0</v>
      </c>
      <c r="Q62" s="27"/>
      <c r="R62" s="27"/>
      <c r="S62" s="27">
        <f>SUM(S52:S61)</f>
        <v>5536.6</v>
      </c>
      <c r="T62" s="27">
        <f>SUM(T52:T61)</f>
        <v>5367.9000000000005</v>
      </c>
    </row>
    <row r="63" spans="2:20" s="2" customFormat="1" x14ac:dyDescent="0.2">
      <c r="B63" s="2" t="s">
        <v>90</v>
      </c>
      <c r="P63" s="26"/>
      <c r="Q63" s="26"/>
      <c r="R63" s="26"/>
      <c r="S63" s="26">
        <v>169.9</v>
      </c>
      <c r="T63" s="26">
        <v>169.9</v>
      </c>
    </row>
    <row r="64" spans="2:20" s="2" customFormat="1" x14ac:dyDescent="0.2">
      <c r="B64" s="3" t="s">
        <v>94</v>
      </c>
      <c r="P64" s="26"/>
      <c r="Q64" s="26"/>
      <c r="R64" s="26"/>
      <c r="S64" s="26">
        <v>1.6</v>
      </c>
      <c r="T64" s="26">
        <v>1.5</v>
      </c>
    </row>
    <row r="65" spans="2:20" x14ac:dyDescent="0.2">
      <c r="B65" s="3" t="s">
        <v>92</v>
      </c>
      <c r="P65" s="27"/>
      <c r="Q65" s="27"/>
      <c r="R65" s="27"/>
      <c r="S65" s="27">
        <v>1.6</v>
      </c>
      <c r="T65" s="27">
        <v>3.2</v>
      </c>
    </row>
    <row r="66" spans="2:20" x14ac:dyDescent="0.2">
      <c r="B66" s="3" t="s">
        <v>93</v>
      </c>
      <c r="P66" s="27"/>
      <c r="Q66" s="27"/>
      <c r="R66" s="27"/>
      <c r="S66" s="27">
        <v>23.4</v>
      </c>
      <c r="T66" s="27">
        <v>14.5</v>
      </c>
    </row>
    <row r="67" spans="2:20" x14ac:dyDescent="0.2">
      <c r="B67" s="3" t="s">
        <v>91</v>
      </c>
      <c r="P67" s="27"/>
      <c r="Q67" s="27"/>
      <c r="R67" s="27"/>
      <c r="S67" s="27">
        <v>0</v>
      </c>
      <c r="T67" s="27">
        <v>0.9</v>
      </c>
    </row>
    <row r="68" spans="2:20" x14ac:dyDescent="0.2">
      <c r="B68" s="3" t="s">
        <v>99</v>
      </c>
      <c r="P68" s="27"/>
      <c r="Q68" s="27"/>
      <c r="R68" s="27"/>
      <c r="S68" s="27">
        <v>22.8</v>
      </c>
      <c r="T68" s="27">
        <v>23.3</v>
      </c>
    </row>
    <row r="69" spans="2:20" x14ac:dyDescent="0.2">
      <c r="B69" s="3" t="s">
        <v>96</v>
      </c>
      <c r="P69" s="27"/>
      <c r="Q69" s="27"/>
      <c r="R69" s="27"/>
      <c r="S69" s="27">
        <v>142.9</v>
      </c>
      <c r="T69" s="27">
        <v>165</v>
      </c>
    </row>
    <row r="70" spans="2:20" x14ac:dyDescent="0.2">
      <c r="B70" s="3" t="s">
        <v>100</v>
      </c>
      <c r="P70" s="27"/>
      <c r="Q70" s="27"/>
      <c r="R70" s="27"/>
      <c r="S70" s="27">
        <v>6.9</v>
      </c>
      <c r="T70" s="27">
        <v>9.3000000000000007</v>
      </c>
    </row>
    <row r="71" spans="2:20" x14ac:dyDescent="0.2">
      <c r="B71" s="3" t="s">
        <v>101</v>
      </c>
      <c r="P71" s="27"/>
      <c r="Q71" s="27"/>
      <c r="R71" s="27"/>
      <c r="S71" s="27">
        <v>1679.3</v>
      </c>
      <c r="T71" s="27">
        <v>1652.5</v>
      </c>
    </row>
    <row r="72" spans="2:20" x14ac:dyDescent="0.2">
      <c r="B72" s="3" t="s">
        <v>102</v>
      </c>
      <c r="P72" s="27"/>
      <c r="Q72" s="27"/>
      <c r="R72" s="27"/>
      <c r="S72" s="27">
        <v>2227.5</v>
      </c>
      <c r="T72" s="27">
        <v>2231.3000000000002</v>
      </c>
    </row>
    <row r="73" spans="2:20" x14ac:dyDescent="0.2">
      <c r="B73" s="3" t="s">
        <v>103</v>
      </c>
      <c r="P73" s="27"/>
      <c r="Q73" s="27"/>
      <c r="R73" s="27"/>
      <c r="S73" s="27">
        <v>55.9</v>
      </c>
      <c r="T73" s="27">
        <v>59.5</v>
      </c>
    </row>
    <row r="74" spans="2:20" x14ac:dyDescent="0.2">
      <c r="B74" s="3" t="s">
        <v>98</v>
      </c>
      <c r="P74" s="27">
        <f>SUM(P63:P73)+P62</f>
        <v>0</v>
      </c>
      <c r="Q74" s="27"/>
      <c r="R74" s="27"/>
      <c r="S74" s="27">
        <f>SUM(S63:S73)+S62</f>
        <v>9868.4</v>
      </c>
      <c r="T74" s="27">
        <f>SUM(T63:T73)+T62</f>
        <v>9698.7999999999993</v>
      </c>
    </row>
    <row r="75" spans="2:20" x14ac:dyDescent="0.2">
      <c r="P75" s="27"/>
      <c r="Q75" s="27"/>
      <c r="R75" s="27"/>
      <c r="S75" s="27"/>
      <c r="T75" s="27"/>
    </row>
    <row r="76" spans="2:20" x14ac:dyDescent="0.2">
      <c r="B76" s="3" t="s">
        <v>105</v>
      </c>
      <c r="P76" s="27"/>
      <c r="Q76" s="27"/>
      <c r="R76" s="27"/>
      <c r="S76" s="27">
        <v>562.70000000000005</v>
      </c>
      <c r="T76" s="27">
        <v>727.4</v>
      </c>
    </row>
    <row r="77" spans="2:20" x14ac:dyDescent="0.2">
      <c r="B77" s="3" t="s">
        <v>106</v>
      </c>
      <c r="P77" s="27"/>
      <c r="Q77" s="27"/>
      <c r="R77" s="27"/>
      <c r="S77" s="27">
        <v>14.1</v>
      </c>
      <c r="T77" s="27">
        <v>12.3</v>
      </c>
    </row>
    <row r="78" spans="2:20" x14ac:dyDescent="0.2">
      <c r="B78" s="3" t="s">
        <v>107</v>
      </c>
      <c r="P78" s="27"/>
      <c r="Q78" s="27"/>
      <c r="R78" s="27"/>
      <c r="S78" s="27">
        <v>11</v>
      </c>
      <c r="T78" s="27">
        <v>11.3</v>
      </c>
    </row>
    <row r="79" spans="2:20" s="2" customFormat="1" x14ac:dyDescent="0.2">
      <c r="B79" s="2" t="s">
        <v>116</v>
      </c>
      <c r="P79" s="26"/>
      <c r="Q79" s="26"/>
      <c r="R79" s="26"/>
      <c r="S79" s="26">
        <v>326.8</v>
      </c>
      <c r="T79" s="26">
        <v>70.2</v>
      </c>
    </row>
    <row r="80" spans="2:20" x14ac:dyDescent="0.2">
      <c r="B80" s="3" t="s">
        <v>108</v>
      </c>
      <c r="P80" s="27"/>
      <c r="Q80" s="27"/>
      <c r="R80" s="27"/>
      <c r="S80" s="27">
        <v>263.3</v>
      </c>
      <c r="T80" s="27">
        <v>258.8</v>
      </c>
    </row>
    <row r="81" spans="2:20" x14ac:dyDescent="0.2">
      <c r="B81" s="3" t="s">
        <v>109</v>
      </c>
      <c r="P81" s="27"/>
      <c r="Q81" s="27"/>
      <c r="R81" s="27"/>
      <c r="S81" s="27">
        <v>1301.8</v>
      </c>
      <c r="T81" s="27">
        <v>1317.8</v>
      </c>
    </row>
    <row r="82" spans="2:20" s="2" customFormat="1" x14ac:dyDescent="0.2">
      <c r="B82" s="2" t="s">
        <v>92</v>
      </c>
      <c r="P82" s="26"/>
      <c r="Q82" s="26"/>
      <c r="R82" s="26"/>
      <c r="S82" s="26">
        <v>3.2</v>
      </c>
      <c r="T82" s="26">
        <v>11</v>
      </c>
    </row>
    <row r="83" spans="2:20" x14ac:dyDescent="0.2">
      <c r="B83" s="3" t="s">
        <v>110</v>
      </c>
      <c r="P83" s="27"/>
      <c r="Q83" s="27"/>
      <c r="R83" s="27"/>
      <c r="S83" s="27">
        <v>38</v>
      </c>
      <c r="T83" s="27">
        <v>37.1</v>
      </c>
    </row>
    <row r="84" spans="2:20" x14ac:dyDescent="0.2">
      <c r="B84" s="3" t="s">
        <v>111</v>
      </c>
      <c r="P84" s="27"/>
      <c r="Q84" s="27"/>
      <c r="R84" s="27"/>
      <c r="S84" s="27">
        <v>71.400000000000006</v>
      </c>
      <c r="T84" s="27">
        <v>79.8</v>
      </c>
    </row>
    <row r="85" spans="2:20" x14ac:dyDescent="0.2">
      <c r="B85" s="3" t="s">
        <v>112</v>
      </c>
      <c r="P85" s="27"/>
      <c r="Q85" s="27"/>
      <c r="R85" s="27"/>
      <c r="S85" s="27">
        <v>2.8</v>
      </c>
      <c r="T85" s="27">
        <v>2.6</v>
      </c>
    </row>
    <row r="86" spans="2:20" x14ac:dyDescent="0.2">
      <c r="B86" s="3" t="s">
        <v>113</v>
      </c>
      <c r="P86" s="27"/>
      <c r="Q86" s="27"/>
      <c r="R86" s="27"/>
      <c r="S86" s="27">
        <v>113.8</v>
      </c>
      <c r="T86" s="27">
        <v>111.8</v>
      </c>
    </row>
    <row r="87" spans="2:20" x14ac:dyDescent="0.2">
      <c r="B87" s="3" t="s">
        <v>114</v>
      </c>
      <c r="P87" s="27"/>
      <c r="Q87" s="27"/>
      <c r="R87" s="27"/>
      <c r="S87" s="3">
        <v>47.4</v>
      </c>
      <c r="T87" s="27">
        <v>0</v>
      </c>
    </row>
    <row r="88" spans="2:20" x14ac:dyDescent="0.2">
      <c r="B88" s="3" t="s">
        <v>115</v>
      </c>
      <c r="P88" s="27">
        <f>SUM(P76:P87)</f>
        <v>0</v>
      </c>
      <c r="Q88" s="27"/>
      <c r="R88" s="27"/>
      <c r="S88" s="27">
        <f>SUM(S76:S87)</f>
        <v>2756.3</v>
      </c>
      <c r="T88" s="27">
        <f>SUM(T76:T87)</f>
        <v>2640.1000000000004</v>
      </c>
    </row>
    <row r="89" spans="2:20" x14ac:dyDescent="0.2">
      <c r="B89" s="3" t="s">
        <v>107</v>
      </c>
      <c r="P89" s="27"/>
      <c r="Q89" s="27"/>
      <c r="R89" s="27"/>
      <c r="S89" s="27">
        <v>49</v>
      </c>
      <c r="T89" s="27">
        <v>52.6</v>
      </c>
    </row>
    <row r="90" spans="2:20" s="2" customFormat="1" x14ac:dyDescent="0.2">
      <c r="B90" s="2" t="s">
        <v>116</v>
      </c>
      <c r="P90" s="26"/>
      <c r="Q90" s="26"/>
      <c r="R90" s="26"/>
      <c r="S90" s="26">
        <v>3229</v>
      </c>
      <c r="T90" s="26">
        <v>3092.7</v>
      </c>
    </row>
    <row r="91" spans="2:20" x14ac:dyDescent="0.2">
      <c r="B91" s="3" t="s">
        <v>108</v>
      </c>
      <c r="P91" s="27"/>
      <c r="Q91" s="27"/>
      <c r="R91" s="27"/>
      <c r="S91" s="27">
        <v>53.8</v>
      </c>
      <c r="T91" s="27">
        <v>55.1</v>
      </c>
    </row>
    <row r="92" spans="2:20" x14ac:dyDescent="0.2">
      <c r="B92" s="3" t="s">
        <v>109</v>
      </c>
      <c r="P92" s="27"/>
      <c r="Q92" s="27"/>
      <c r="R92" s="27"/>
      <c r="S92" s="27">
        <v>454.8</v>
      </c>
      <c r="T92" s="27">
        <v>478.5</v>
      </c>
    </row>
    <row r="93" spans="2:20" x14ac:dyDescent="0.2">
      <c r="B93" s="3" t="s">
        <v>110</v>
      </c>
      <c r="P93" s="27"/>
      <c r="Q93" s="27"/>
      <c r="R93" s="27"/>
      <c r="S93" s="27">
        <v>13</v>
      </c>
      <c r="T93" s="27">
        <v>12.1</v>
      </c>
    </row>
    <row r="94" spans="2:20" x14ac:dyDescent="0.2">
      <c r="B94" s="3" t="s">
        <v>117</v>
      </c>
      <c r="P94" s="27"/>
      <c r="Q94" s="27"/>
      <c r="R94" s="27"/>
      <c r="S94" s="27">
        <v>376.1</v>
      </c>
      <c r="T94" s="27">
        <v>334.4</v>
      </c>
    </row>
    <row r="95" spans="2:20" x14ac:dyDescent="0.2">
      <c r="B95" s="3" t="s">
        <v>112</v>
      </c>
      <c r="P95" s="27"/>
      <c r="Q95" s="27"/>
      <c r="R95" s="27"/>
      <c r="S95" s="27">
        <v>37.6</v>
      </c>
      <c r="T95" s="27">
        <v>27.2</v>
      </c>
    </row>
    <row r="96" spans="2:20" x14ac:dyDescent="0.2">
      <c r="B96" s="3" t="s">
        <v>113</v>
      </c>
      <c r="P96" s="27"/>
      <c r="Q96" s="27"/>
      <c r="R96" s="27"/>
      <c r="S96" s="27">
        <v>141.9</v>
      </c>
      <c r="T96" s="27">
        <v>133.4</v>
      </c>
    </row>
    <row r="97" spans="2:20" x14ac:dyDescent="0.2">
      <c r="B97" s="3" t="s">
        <v>118</v>
      </c>
      <c r="P97" s="27">
        <f>SUM(P89:P96)+P88</f>
        <v>0</v>
      </c>
      <c r="Q97" s="27"/>
      <c r="R97" s="27"/>
      <c r="S97" s="27">
        <f>SUM(S89:S96)+S88</f>
        <v>7111.5000000000009</v>
      </c>
      <c r="T97" s="27">
        <f>SUM(T89:T96)+T88</f>
        <v>6826.0999999999995</v>
      </c>
    </row>
    <row r="98" spans="2:20" x14ac:dyDescent="0.2">
      <c r="P98" s="27"/>
      <c r="Q98" s="27"/>
      <c r="R98" s="27"/>
      <c r="S98" s="27"/>
      <c r="T98" s="27"/>
    </row>
    <row r="99" spans="2:20" x14ac:dyDescent="0.2">
      <c r="B99" s="3" t="s">
        <v>119</v>
      </c>
      <c r="P99" s="27"/>
      <c r="Q99" s="27"/>
      <c r="R99" s="27"/>
      <c r="S99" s="27">
        <v>2756.9</v>
      </c>
      <c r="T99" s="27">
        <v>2872.7</v>
      </c>
    </row>
    <row r="100" spans="2:20" x14ac:dyDescent="0.2">
      <c r="B100" s="3" t="s">
        <v>120</v>
      </c>
      <c r="P100" s="27">
        <f>P99+P97</f>
        <v>0</v>
      </c>
      <c r="Q100" s="27"/>
      <c r="R100" s="27"/>
      <c r="S100" s="27">
        <f>S99+S97</f>
        <v>9868.4000000000015</v>
      </c>
      <c r="T100" s="27">
        <f>T99+T97</f>
        <v>9698.7999999999993</v>
      </c>
    </row>
    <row r="102" spans="2:20" x14ac:dyDescent="0.2">
      <c r="B102" s="3" t="s">
        <v>121</v>
      </c>
      <c r="P102" s="27">
        <f>P74-P97</f>
        <v>0</v>
      </c>
      <c r="Q102" s="27"/>
      <c r="R102" s="27"/>
      <c r="S102" s="27">
        <f>S74-S97</f>
        <v>2756.8999999999987</v>
      </c>
      <c r="T102" s="27">
        <f>T74-T97</f>
        <v>2872.7</v>
      </c>
    </row>
    <row r="103" spans="2:20" x14ac:dyDescent="0.2">
      <c r="B103" s="3" t="s">
        <v>122</v>
      </c>
      <c r="S103" s="3">
        <f>S102/S27</f>
        <v>3.7529267628641421</v>
      </c>
      <c r="T103" s="3">
        <f>T102/T27</f>
        <v>3.9105635720119789</v>
      </c>
    </row>
    <row r="105" spans="2:20" s="39" customFormat="1" x14ac:dyDescent="0.2">
      <c r="B105" s="39" t="s">
        <v>6</v>
      </c>
      <c r="S105" s="65">
        <f>S52+S53+S63</f>
        <v>2102.6</v>
      </c>
      <c r="T105" s="65">
        <f>T52+T53+T63</f>
        <v>1965</v>
      </c>
    </row>
    <row r="106" spans="2:20" s="39" customFormat="1" x14ac:dyDescent="0.2">
      <c r="B106" s="39" t="s">
        <v>7</v>
      </c>
      <c r="S106" s="65">
        <f>S79+S82+S90</f>
        <v>3559</v>
      </c>
      <c r="T106" s="65">
        <f>T79+T82+T90</f>
        <v>3173.8999999999996</v>
      </c>
    </row>
    <row r="107" spans="2:20" x14ac:dyDescent="0.2">
      <c r="B107" s="3" t="s">
        <v>8</v>
      </c>
      <c r="S107" s="27">
        <f>S105-S106</f>
        <v>-1456.4</v>
      </c>
      <c r="T107" s="27">
        <f>T105-T106</f>
        <v>-1208.8999999999996</v>
      </c>
    </row>
    <row r="109" spans="2:20" s="2" customFormat="1" x14ac:dyDescent="0.2">
      <c r="B109" s="2" t="s">
        <v>134</v>
      </c>
    </row>
    <row r="110" spans="2:20" x14ac:dyDescent="0.2">
      <c r="B110" s="3" t="s">
        <v>135</v>
      </c>
      <c r="T110" s="25">
        <f>T58/S58-1</f>
        <v>7.6525103473096934E-2</v>
      </c>
    </row>
    <row r="112" spans="2:20" x14ac:dyDescent="0.2">
      <c r="B112" s="3" t="s">
        <v>136</v>
      </c>
    </row>
    <row r="114" spans="2:20" x14ac:dyDescent="0.2">
      <c r="B114" s="3" t="s">
        <v>178</v>
      </c>
      <c r="S114" s="3">
        <v>12.61</v>
      </c>
      <c r="T114" s="3">
        <v>8.7799999999999994</v>
      </c>
    </row>
    <row r="115" spans="2:20" s="27" customFormat="1" x14ac:dyDescent="0.2">
      <c r="B115" s="27" t="s">
        <v>179</v>
      </c>
      <c r="S115" s="27">
        <f>S114*S27</f>
        <v>9263.3060000000005</v>
      </c>
      <c r="T115" s="27">
        <f>T114*T27</f>
        <v>6449.7879999999996</v>
      </c>
    </row>
    <row r="116" spans="2:20" s="27" customFormat="1" x14ac:dyDescent="0.2">
      <c r="B116" s="27" t="s">
        <v>9</v>
      </c>
      <c r="S116" s="27">
        <f>S115-S107</f>
        <v>10719.706</v>
      </c>
      <c r="T116" s="27">
        <f>T115-T107</f>
        <v>7658.6879999999992</v>
      </c>
    </row>
    <row r="118" spans="2:20" x14ac:dyDescent="0.2">
      <c r="B118" s="3" t="s">
        <v>26</v>
      </c>
      <c r="S118" s="74">
        <f>-S114/S103</f>
        <v>-3.3600442526025622</v>
      </c>
      <c r="T118" s="74">
        <f>-T114/T103</f>
        <v>-2.2452006822849584</v>
      </c>
    </row>
    <row r="119" spans="2:20" x14ac:dyDescent="0.2">
      <c r="B119" s="3" t="s">
        <v>27</v>
      </c>
    </row>
    <row r="120" spans="2:20" x14ac:dyDescent="0.2">
      <c r="B120" s="3" t="s">
        <v>28</v>
      </c>
    </row>
  </sheetData>
  <hyperlinks>
    <hyperlink ref="T1" r:id="rId1" xr:uid="{680599EF-35E5-444E-BE52-11E2AAE328C4}"/>
    <hyperlink ref="S1" r:id="rId2" xr:uid="{93CDF7DF-1EA6-42CA-BCC8-DA2865B51A26}"/>
  </hyperlinks>
  <pageMargins left="0.7" right="0.7" top="0.75" bottom="0.75" header="0.3" footer="0.3"/>
  <pageSetup paperSize="256" orientation="portrait" horizontalDpi="203" verticalDpi="203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D4"/>
  <sheetViews>
    <sheetView workbookViewId="0">
      <selection activeCell="I17" sqref="I17"/>
    </sheetView>
  </sheetViews>
  <sheetFormatPr defaultRowHeight="12.75" x14ac:dyDescent="0.2"/>
  <cols>
    <col min="1" max="16384" width="9.140625" style="3"/>
  </cols>
  <sheetData>
    <row r="4" spans="4:4" x14ac:dyDescent="0.2">
      <c r="D4" s="3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2022-10-07T16:59:45Z</dcterms:modified>
</cp:coreProperties>
</file>