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024BA9-4FD8-43E8-92AE-B5FD82249ECA}" xr6:coauthVersionLast="36" xr6:coauthVersionMax="47" xr10:uidLastSave="{00000000-0000-0000-0000-000000000000}"/>
  <bookViews>
    <workbookView xWindow="0" yWindow="495" windowWidth="33600" windowHeight="1890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H18" i="2"/>
  <c r="F72" i="2"/>
  <c r="F73" i="2"/>
  <c r="G73" i="2"/>
  <c r="L74" i="2"/>
  <c r="K74" i="2"/>
  <c r="J74" i="2"/>
  <c r="I74" i="2"/>
  <c r="H74" i="2"/>
  <c r="G74" i="2"/>
  <c r="F74" i="2"/>
  <c r="M74" i="2"/>
  <c r="F75" i="2"/>
  <c r="H75" i="2"/>
  <c r="F70" i="2"/>
  <c r="F69" i="2"/>
  <c r="F68" i="2"/>
  <c r="F65" i="2"/>
  <c r="F64" i="2"/>
  <c r="F66" i="2" s="1"/>
  <c r="F61" i="2"/>
  <c r="F62" i="2" s="1"/>
  <c r="F59" i="2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H73" i="2"/>
  <c r="H72" i="2"/>
  <c r="J72" i="2"/>
  <c r="L72" i="2"/>
  <c r="F23" i="2"/>
  <c r="F22" i="2"/>
  <c r="F21" i="2"/>
  <c r="H23" i="2"/>
  <c r="H22" i="2"/>
  <c r="H21" i="2"/>
  <c r="I19" i="2"/>
  <c r="H19" i="2"/>
  <c r="G19" i="2"/>
  <c r="F19" i="2"/>
  <c r="J19" i="2"/>
  <c r="H69" i="2"/>
  <c r="H70" i="2" s="1"/>
  <c r="H68" i="2"/>
  <c r="H65" i="2"/>
  <c r="H64" i="2"/>
  <c r="H66" i="2" s="1"/>
  <c r="H61" i="2"/>
  <c r="H62" i="2" s="1"/>
  <c r="H58" i="2"/>
  <c r="H59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43" i="2"/>
  <c r="H42" i="2"/>
  <c r="H37" i="2"/>
  <c r="H36" i="2"/>
  <c r="H35" i="2"/>
  <c r="H33" i="2"/>
  <c r="H32" i="2"/>
  <c r="H31" i="2"/>
  <c r="H29" i="2"/>
  <c r="H39" i="2"/>
  <c r="H38" i="2"/>
  <c r="H40" i="2"/>
  <c r="H34" i="2"/>
  <c r="H30" i="2"/>
  <c r="H28" i="2"/>
  <c r="T77" i="2"/>
  <c r="T76" i="2"/>
  <c r="T75" i="2"/>
  <c r="T74" i="2"/>
  <c r="T73" i="2"/>
  <c r="T72" i="2"/>
  <c r="T65" i="2"/>
  <c r="T64" i="2"/>
  <c r="T66" i="2" s="1"/>
  <c r="T61" i="2"/>
  <c r="T62" i="2" s="1"/>
  <c r="T59" i="2"/>
  <c r="T49" i="2"/>
  <c r="T56" i="2" s="1"/>
  <c r="T40" i="2"/>
  <c r="T34" i="2"/>
  <c r="T28" i="2"/>
  <c r="V76" i="2"/>
  <c r="W76" i="2"/>
  <c r="V74" i="2"/>
  <c r="W74" i="2"/>
  <c r="U77" i="2"/>
  <c r="U65" i="2"/>
  <c r="U64" i="2"/>
  <c r="U66" i="2" s="1"/>
  <c r="U61" i="2"/>
  <c r="U62" i="2" s="1"/>
  <c r="U72" i="2" s="1"/>
  <c r="U59" i="2"/>
  <c r="U56" i="2"/>
  <c r="U49" i="2"/>
  <c r="U40" i="2"/>
  <c r="U34" i="2"/>
  <c r="U28" i="2"/>
  <c r="C37" i="1"/>
  <c r="F56" i="2" l="1"/>
  <c r="AH68" i="2"/>
  <c r="AG68" i="2"/>
  <c r="AF68" i="2"/>
  <c r="AE68" i="2"/>
  <c r="AD68" i="2"/>
  <c r="AC68" i="2"/>
  <c r="AB68" i="2"/>
  <c r="AA68" i="2"/>
  <c r="Z68" i="2"/>
  <c r="Y68" i="2"/>
  <c r="D16" i="2"/>
  <c r="AK27" i="2" l="1"/>
  <c r="X7" i="2" l="1"/>
  <c r="X6" i="2"/>
  <c r="N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N4" i="2"/>
  <c r="N5" i="2" s="1"/>
  <c r="X4" i="2" l="1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U74" i="2" l="1"/>
  <c r="A74" i="2" s="1"/>
  <c r="U76" i="2"/>
  <c r="A76" i="2" s="1"/>
  <c r="J28" i="2"/>
  <c r="J34" i="2" s="1"/>
  <c r="J40" i="2" s="1"/>
  <c r="W66" i="2"/>
  <c r="X18" i="2"/>
  <c r="Y4" i="2"/>
  <c r="J65" i="2"/>
  <c r="J64" i="2"/>
  <c r="X21" i="2"/>
  <c r="V77" i="2"/>
  <c r="V61" i="2"/>
  <c r="V62" i="2" s="1"/>
  <c r="V72" i="2" s="1"/>
  <c r="W77" i="2"/>
  <c r="W61" i="2"/>
  <c r="W62" i="2" s="1"/>
  <c r="W72" i="2" s="1"/>
  <c r="U73" i="2"/>
  <c r="V70" i="2"/>
  <c r="V73" i="2"/>
  <c r="W70" i="2"/>
  <c r="J49" i="2"/>
  <c r="J56" i="2" s="1"/>
  <c r="J61" i="2" s="1"/>
  <c r="U12" i="2"/>
  <c r="T12" i="2"/>
  <c r="D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Z4" i="2" l="1"/>
  <c r="Y5" i="2"/>
  <c r="J66" i="2"/>
  <c r="D10" i="2"/>
  <c r="D12" i="2" s="1"/>
  <c r="D15" i="2" s="1"/>
  <c r="J59" i="2"/>
  <c r="T15" i="2"/>
  <c r="T13" i="2"/>
  <c r="T22" i="2"/>
  <c r="U15" i="2"/>
  <c r="U75" i="2" s="1"/>
  <c r="U22" i="2"/>
  <c r="U13" i="2"/>
  <c r="F10" i="2"/>
  <c r="F12" i="2" s="1"/>
  <c r="F13" i="2" s="1"/>
  <c r="H10" i="2"/>
  <c r="H12" i="2" s="1"/>
  <c r="D13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Y21" i="2" l="1"/>
  <c r="Y9" i="2"/>
  <c r="Z9" i="2"/>
  <c r="AA4" i="2"/>
  <c r="Z5" i="2"/>
  <c r="L64" i="2"/>
  <c r="X8" i="2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X10" i="2"/>
  <c r="Y8" i="2"/>
  <c r="AA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E7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Y10" i="2"/>
  <c r="AA10" i="2"/>
  <c r="AA21" i="2"/>
  <c r="AC4" i="2"/>
  <c r="AB5" i="2"/>
  <c r="AB9" i="2"/>
  <c r="AA8" i="2"/>
  <c r="C12" i="1"/>
  <c r="C35" i="1" s="1"/>
  <c r="AK24" i="2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B21" i="2" l="1"/>
  <c r="AD4" i="2"/>
  <c r="AC5" i="2"/>
  <c r="AC9" i="2"/>
  <c r="AA11" i="2"/>
  <c r="AA12" i="2"/>
  <c r="Y11" i="2"/>
  <c r="Y12" i="2"/>
  <c r="AB8" i="2"/>
  <c r="AC8" i="2"/>
  <c r="Z10" i="2"/>
  <c r="X22" i="2"/>
  <c r="X13" i="2"/>
  <c r="X15" i="2" s="1"/>
  <c r="N13" i="2"/>
  <c r="AD8" i="2" l="1"/>
  <c r="AC10" i="2"/>
  <c r="AC21" i="2"/>
  <c r="Y14" i="2"/>
  <c r="Y13" i="2" s="1"/>
  <c r="Y15" i="2" s="1"/>
  <c r="Y22" i="2"/>
  <c r="AE4" i="2"/>
  <c r="AD5" i="2"/>
  <c r="AA22" i="2"/>
  <c r="AA14" i="2"/>
  <c r="AA13" i="2"/>
  <c r="AA15" i="2" s="1"/>
  <c r="AB10" i="2"/>
  <c r="AD9" i="2"/>
  <c r="Z11" i="2"/>
  <c r="Z12" i="2"/>
  <c r="AB11" i="2" l="1"/>
  <c r="AB12" i="2"/>
  <c r="AC11" i="2"/>
  <c r="AC12" i="2"/>
  <c r="AD10" i="2"/>
  <c r="AD21" i="2"/>
  <c r="AE9" i="2"/>
  <c r="Z22" i="2"/>
  <c r="Z14" i="2"/>
  <c r="Z13" i="2" s="1"/>
  <c r="Z15" i="2" s="1"/>
  <c r="AF4" i="2"/>
  <c r="AE5" i="2"/>
  <c r="AE8" i="2"/>
  <c r="AE10" i="2" l="1"/>
  <c r="AE21" i="2"/>
  <c r="AC14" i="2"/>
  <c r="AC13" i="2" s="1"/>
  <c r="AC15" i="2" s="1"/>
  <c r="AC22" i="2"/>
  <c r="AF8" i="2"/>
  <c r="AB14" i="2"/>
  <c r="AB13" i="2" s="1"/>
  <c r="AB15" i="2" s="1"/>
  <c r="AB22" i="2"/>
  <c r="AG4" i="2"/>
  <c r="AF5" i="2"/>
  <c r="AD11" i="2"/>
  <c r="AD12" i="2" s="1"/>
  <c r="AF9" i="2"/>
  <c r="AD14" i="2" l="1"/>
  <c r="AD13" i="2"/>
  <c r="AD15" i="2" s="1"/>
  <c r="AD22" i="2"/>
  <c r="AF10" i="2"/>
  <c r="AF21" i="2"/>
  <c r="AH4" i="2"/>
  <c r="AH5" i="2" s="1"/>
  <c r="AG5" i="2"/>
  <c r="AE11" i="2"/>
  <c r="AE12" i="2"/>
  <c r="AG9" i="2"/>
  <c r="AH9" i="2" s="1"/>
  <c r="AG8" i="2"/>
  <c r="AH8" i="2" s="1"/>
  <c r="AH10" i="2" l="1"/>
  <c r="AH21" i="2"/>
  <c r="AF11" i="2"/>
  <c r="AF12" i="2"/>
  <c r="AE14" i="2"/>
  <c r="AE13" i="2"/>
  <c r="AE15" i="2" s="1"/>
  <c r="AE22" i="2"/>
  <c r="AG10" i="2"/>
  <c r="AG21" i="2"/>
  <c r="AG11" i="2" l="1"/>
  <c r="AG12" i="2"/>
  <c r="AF14" i="2"/>
  <c r="AF13" i="2"/>
  <c r="AF15" i="2" s="1"/>
  <c r="AF22" i="2"/>
  <c r="AH11" i="2"/>
  <c r="AH12" i="2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22" i="2"/>
  <c r="AG14" i="2"/>
  <c r="AG13" i="2"/>
  <c r="AG15" i="2" s="1"/>
  <c r="AG22" i="2"/>
  <c r="A75" i="2" l="1"/>
  <c r="X68" i="2"/>
</calcChain>
</file>

<file path=xl/sharedStrings.xml><?xml version="1.0" encoding="utf-8"?>
<sst xmlns="http://schemas.openxmlformats.org/spreadsheetml/2006/main" count="148" uniqueCount="121">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</sst>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5" fontId="11" fillId="7" borderId="0" xfId="0" applyNumberFormat="1" applyFont="1" applyFill="1"/>
    <xf numFmtId="2" fontId="1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zoomScaleNormal="100" workbookViewId="0">
      <selection activeCell="H29" sqref="H29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79" t="s">
        <v>3</v>
      </c>
      <c r="C5" s="80"/>
      <c r="D5" s="81"/>
      <c r="G5" s="79" t="s">
        <v>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  <c r="V5" s="79" t="s">
        <v>119</v>
      </c>
      <c r="W5" s="80"/>
      <c r="X5" s="80"/>
      <c r="Y5" s="80"/>
      <c r="Z5" s="81"/>
    </row>
    <row r="6" spans="2:26" x14ac:dyDescent="0.2">
      <c r="B6" s="4" t="s">
        <v>4</v>
      </c>
      <c r="C6" s="78">
        <v>21.17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70"/>
      <c r="W6" s="11"/>
      <c r="X6" s="11"/>
      <c r="Y6" s="11"/>
      <c r="Z6" s="12"/>
    </row>
    <row r="7" spans="2:26" x14ac:dyDescent="0.2">
      <c r="B7" s="4" t="s">
        <v>5</v>
      </c>
      <c r="C7" s="8">
        <f>'Financial Model'!M16</f>
        <v>378.2</v>
      </c>
      <c r="D7" s="6" t="str">
        <f>$C$28</f>
        <v>H122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70"/>
      <c r="W7" s="11"/>
      <c r="X7" s="11"/>
      <c r="Y7" s="11"/>
      <c r="Z7" s="12"/>
    </row>
    <row r="8" spans="2:26" x14ac:dyDescent="0.2">
      <c r="B8" s="4" t="s">
        <v>6</v>
      </c>
      <c r="C8" s="8">
        <f>C6*C7</f>
        <v>8006.4940000000006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1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Model'!M64</f>
        <v>234.4</v>
      </c>
      <c r="D9" s="6" t="str">
        <f t="shared" ref="D9:D11" si="0">$C$28</f>
        <v>H122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2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Model'!M65</f>
        <v>802</v>
      </c>
      <c r="D10" s="6" t="str">
        <f t="shared" si="0"/>
        <v>H122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2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-567.6</v>
      </c>
      <c r="D11" s="6" t="str">
        <f t="shared" si="0"/>
        <v>H122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2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8574.094000000001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70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70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70" t="s">
        <v>120</v>
      </c>
      <c r="W14" s="11"/>
      <c r="X14" s="11"/>
      <c r="Y14" s="11"/>
      <c r="Z14" s="12"/>
    </row>
    <row r="15" spans="2:26" x14ac:dyDescent="0.2">
      <c r="B15" s="79" t="s">
        <v>11</v>
      </c>
      <c r="C15" s="80"/>
      <c r="D15" s="81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70"/>
      <c r="W15" s="11"/>
      <c r="X15" s="11"/>
      <c r="Y15" s="11"/>
      <c r="Z15" s="12"/>
    </row>
    <row r="16" spans="2:26" x14ac:dyDescent="0.2">
      <c r="B16" s="10" t="s">
        <v>12</v>
      </c>
      <c r="C16" s="84" t="s">
        <v>32</v>
      </c>
      <c r="D16" s="85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70"/>
      <c r="W16" s="11"/>
      <c r="X16" s="11"/>
      <c r="Y16" s="11"/>
      <c r="Z16" s="12"/>
    </row>
    <row r="17" spans="2:26" x14ac:dyDescent="0.2">
      <c r="B17" s="10" t="s">
        <v>13</v>
      </c>
      <c r="C17" s="84" t="s">
        <v>33</v>
      </c>
      <c r="D17" s="85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70"/>
      <c r="W17" s="11"/>
      <c r="X17" s="11"/>
      <c r="Y17" s="11"/>
      <c r="Z17" s="12"/>
    </row>
    <row r="18" spans="2:26" x14ac:dyDescent="0.2">
      <c r="B18" s="10" t="s">
        <v>14</v>
      </c>
      <c r="C18" s="84"/>
      <c r="D18" s="85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70"/>
      <c r="W18" s="11"/>
      <c r="X18" s="11"/>
      <c r="Y18" s="11"/>
      <c r="Z18" s="12"/>
    </row>
    <row r="19" spans="2:26" x14ac:dyDescent="0.2">
      <c r="B19" s="13" t="s">
        <v>15</v>
      </c>
      <c r="C19" s="82"/>
      <c r="D19" s="83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3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79" t="s">
        <v>16</v>
      </c>
      <c r="C22" s="80"/>
      <c r="D22" s="81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84" t="s">
        <v>31</v>
      </c>
      <c r="D23" s="85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84">
        <v>1894</v>
      </c>
      <c r="D24" s="85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84"/>
      <c r="D25" s="85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84"/>
      <c r="D26" s="85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84"/>
      <c r="D27" s="85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42</v>
      </c>
      <c r="D28" s="43">
        <v>44882</v>
      </c>
      <c r="E28" s="90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86" t="s">
        <v>30</v>
      </c>
      <c r="D29" s="87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79" t="s">
        <v>21</v>
      </c>
      <c r="C32" s="80"/>
      <c r="D32" s="81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88">
        <f>C6/'Financial Model'!M62</f>
        <v>4.9210165949600491</v>
      </c>
      <c r="D33" s="89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88">
        <f>C8/SUM('Financial Model'!L4:M4)</f>
        <v>4.8127518634287094</v>
      </c>
      <c r="D34" s="89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88">
        <f>C12/SUM('Financial Model'!L4:M4)</f>
        <v>5.1539396489540765</v>
      </c>
      <c r="D35" s="89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88">
        <f>C6/SUM('Financial Model'!L15:M15)</f>
        <v>35.878341641278986</v>
      </c>
      <c r="D36" s="89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88">
        <f>C12/SUM('Financial Model'!L12:M12)</f>
        <v>38.397196596506951</v>
      </c>
      <c r="D37" s="89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82"/>
      <c r="D38" s="83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B32:D32"/>
    <mergeCell ref="C23:D23"/>
    <mergeCell ref="C24:D24"/>
    <mergeCell ref="C25:D25"/>
    <mergeCell ref="C26:D26"/>
    <mergeCell ref="C27:D27"/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8" sqref="L18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53"/>
    <col min="15" max="15" width="9.140625" style="1"/>
    <col min="16" max="16" width="9.140625" style="28"/>
    <col min="17" max="23" width="9.140625" style="1"/>
    <col min="24" max="24" width="9.140625" style="53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46" t="s">
        <v>43</v>
      </c>
      <c r="O1" s="21" t="s">
        <v>44</v>
      </c>
      <c r="P1" s="25" t="s">
        <v>45</v>
      </c>
      <c r="R1" s="21" t="s">
        <v>106</v>
      </c>
      <c r="S1" s="21" t="s">
        <v>103</v>
      </c>
      <c r="T1" s="21" t="s">
        <v>46</v>
      </c>
      <c r="U1" s="58" t="s">
        <v>47</v>
      </c>
      <c r="V1" s="21" t="s">
        <v>48</v>
      </c>
      <c r="W1" s="29" t="s">
        <v>49</v>
      </c>
      <c r="X1" s="4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26">
        <f>S2</f>
        <v>0</v>
      </c>
      <c r="E2" s="31">
        <v>43373</v>
      </c>
      <c r="F2" s="55">
        <f>T2</f>
        <v>43555</v>
      </c>
      <c r="G2" s="31">
        <v>43738</v>
      </c>
      <c r="H2" s="55">
        <f>U2</f>
        <v>43921</v>
      </c>
      <c r="I2" s="31">
        <v>44104</v>
      </c>
      <c r="J2" s="55">
        <f>V2</f>
        <v>44286</v>
      </c>
      <c r="K2" s="31">
        <v>44469</v>
      </c>
      <c r="L2" s="55">
        <f>W2</f>
        <v>44651</v>
      </c>
      <c r="M2" s="31">
        <v>44834</v>
      </c>
      <c r="N2" s="47"/>
      <c r="P2" s="26"/>
      <c r="T2" s="31">
        <v>43555</v>
      </c>
      <c r="U2" s="31">
        <v>43921</v>
      </c>
      <c r="V2" s="31">
        <v>44286</v>
      </c>
      <c r="W2" s="31">
        <v>44651</v>
      </c>
      <c r="X2" s="47" t="s">
        <v>107</v>
      </c>
    </row>
    <row r="3" spans="2:73" s="23" customFormat="1" x14ac:dyDescent="0.2">
      <c r="B3" s="22"/>
      <c r="D3" s="26"/>
      <c r="E3" s="30">
        <v>44885</v>
      </c>
      <c r="F3" s="26"/>
      <c r="H3" s="56">
        <f>U3</f>
        <v>44756</v>
      </c>
      <c r="I3" s="30">
        <v>44884</v>
      </c>
      <c r="J3" s="26"/>
      <c r="L3" s="56">
        <f>W3</f>
        <v>44728</v>
      </c>
      <c r="M3" s="30">
        <v>44882</v>
      </c>
      <c r="N3" s="47"/>
      <c r="P3" s="26"/>
      <c r="U3" s="30">
        <v>44756</v>
      </c>
      <c r="W3" s="30">
        <v>44728</v>
      </c>
      <c r="X3" s="47"/>
    </row>
    <row r="4" spans="2:73" s="32" customFormat="1" x14ac:dyDescent="0.2">
      <c r="B4" s="32" t="s">
        <v>29</v>
      </c>
      <c r="C4" s="32">
        <v>506.3</v>
      </c>
      <c r="D4" s="33">
        <f>S4-C4</f>
        <v>-506.3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48">
        <f>M4*(1+N19)</f>
        <v>989.31499999999994</v>
      </c>
      <c r="P4" s="33"/>
      <c r="T4" s="32">
        <v>1210.9000000000001</v>
      </c>
      <c r="U4" s="32">
        <v>1338.4</v>
      </c>
      <c r="V4" s="32">
        <v>1318.2</v>
      </c>
      <c r="W4" s="32">
        <v>1525.3</v>
      </c>
      <c r="X4" s="48">
        <f>N4+M4</f>
        <v>1864.8150000000001</v>
      </c>
      <c r="Y4" s="32">
        <f>X4*(1+Y18)</f>
        <v>2200.4816999999998</v>
      </c>
      <c r="Z4" s="32">
        <f t="shared" ref="Z4:AH4" si="1">Y4*(1+Z18)</f>
        <v>2596.5684059999999</v>
      </c>
      <c r="AA4" s="32">
        <f t="shared" si="1"/>
        <v>3063.9507190799995</v>
      </c>
      <c r="AB4" s="32">
        <f t="shared" si="1"/>
        <v>3615.4618485143992</v>
      </c>
      <c r="AC4" s="32">
        <f t="shared" si="1"/>
        <v>4266.2449812469904</v>
      </c>
      <c r="AD4" s="32">
        <f t="shared" si="1"/>
        <v>5034.1690778714483</v>
      </c>
      <c r="AE4" s="32">
        <f t="shared" si="1"/>
        <v>5940.3195118883086</v>
      </c>
      <c r="AF4" s="32">
        <f t="shared" si="1"/>
        <v>7009.5770240282036</v>
      </c>
      <c r="AG4" s="32">
        <f t="shared" si="1"/>
        <v>8271.3008883532802</v>
      </c>
      <c r="AH4" s="32">
        <f t="shared" si="1"/>
        <v>9760.1350482568705</v>
      </c>
    </row>
    <row r="5" spans="2:73" s="32" customFormat="1" x14ac:dyDescent="0.2">
      <c r="B5" s="32" t="s">
        <v>61</v>
      </c>
      <c r="C5" s="32">
        <v>81.8</v>
      </c>
      <c r="D5" s="33">
        <f>S5-C5</f>
        <v>-81.8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48">
        <f>N4*0.18</f>
        <v>178.07669999999999</v>
      </c>
      <c r="P5" s="33"/>
      <c r="T5" s="32">
        <v>217.8</v>
      </c>
      <c r="U5" s="32">
        <v>233.4</v>
      </c>
      <c r="V5" s="32">
        <v>240.8</v>
      </c>
      <c r="W5" s="32">
        <v>278.89999999999998</v>
      </c>
      <c r="X5" s="48">
        <f>N5+M5</f>
        <v>329.77670000000001</v>
      </c>
      <c r="Y5" s="32">
        <f>Y4*0.18</f>
        <v>396.08670599999994</v>
      </c>
      <c r="Z5" s="32">
        <f t="shared" ref="Z5:AH5" si="2">Z4*0.18</f>
        <v>467.38231307999996</v>
      </c>
      <c r="AA5" s="32">
        <f t="shared" si="2"/>
        <v>551.51112943439989</v>
      </c>
      <c r="AB5" s="32">
        <f t="shared" si="2"/>
        <v>650.78313273259187</v>
      </c>
      <c r="AC5" s="32">
        <f t="shared" si="2"/>
        <v>767.92409662445823</v>
      </c>
      <c r="AD5" s="32">
        <f t="shared" si="2"/>
        <v>906.15043401686069</v>
      </c>
      <c r="AE5" s="32">
        <f t="shared" si="2"/>
        <v>1069.2575121398954</v>
      </c>
      <c r="AF5" s="32">
        <f t="shared" si="2"/>
        <v>1261.7238643250766</v>
      </c>
      <c r="AG5" s="32">
        <f t="shared" si="2"/>
        <v>1488.8341599035905</v>
      </c>
      <c r="AH5" s="32">
        <f t="shared" si="2"/>
        <v>1756.8243086862367</v>
      </c>
    </row>
    <row r="6" spans="2:73" s="8" customFormat="1" x14ac:dyDescent="0.2">
      <c r="B6" s="8" t="s">
        <v>62</v>
      </c>
      <c r="C6" s="8">
        <v>-0.1</v>
      </c>
      <c r="D6" s="34">
        <f>S6-C6</f>
        <v>0.1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49">
        <v>0</v>
      </c>
      <c r="P6" s="34"/>
      <c r="T6" s="8">
        <v>-0.1</v>
      </c>
      <c r="U6" s="8">
        <v>-0.1</v>
      </c>
      <c r="V6" s="8">
        <v>0</v>
      </c>
      <c r="W6" s="8">
        <v>-0.1</v>
      </c>
      <c r="X6" s="49">
        <f>N6+M6</f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49">
        <v>0</v>
      </c>
      <c r="P7" s="34"/>
      <c r="T7" s="8">
        <v>-1</v>
      </c>
      <c r="U7" s="8">
        <v>2.9</v>
      </c>
      <c r="V7" s="8">
        <v>22.1</v>
      </c>
      <c r="W7" s="8">
        <v>34</v>
      </c>
      <c r="X7" s="49">
        <f t="shared" ref="X7:X9" si="7">N7+M7</f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-0.1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49">
        <f>AVERAGE(K8:M8)</f>
        <v>0.46666666666666662</v>
      </c>
      <c r="P8" s="34"/>
      <c r="T8" s="8">
        <v>0.5</v>
      </c>
      <c r="U8" s="8">
        <v>0.6</v>
      </c>
      <c r="V8" s="8">
        <v>1</v>
      </c>
      <c r="W8" s="8">
        <v>0.6</v>
      </c>
      <c r="X8" s="49">
        <f t="shared" si="7"/>
        <v>1.2666666666666666</v>
      </c>
      <c r="Y8" s="8">
        <f t="shared" ref="Y8" si="8">AVERAGE(V8:X8)</f>
        <v>0.9555555555555556</v>
      </c>
      <c r="Z8" s="8">
        <f t="shared" ref="Z8" si="9">AVERAGE(W8:Y8)</f>
        <v>0.94074074074074077</v>
      </c>
      <c r="AA8" s="8">
        <f t="shared" ref="AA8" si="10">AVERAGE(X8:Z8)</f>
        <v>1.0543209876543209</v>
      </c>
      <c r="AB8" s="8">
        <f t="shared" ref="AB8" si="11">AVERAGE(Y8:AA8)</f>
        <v>0.98353909465020573</v>
      </c>
      <c r="AC8" s="8">
        <f t="shared" ref="AC8" si="12">AVERAGE(Z8:AB8)</f>
        <v>0.99286694101508921</v>
      </c>
      <c r="AD8" s="8">
        <f t="shared" ref="AD8" si="13">AVERAGE(AA8:AC8)</f>
        <v>1.0102423411065387</v>
      </c>
      <c r="AE8" s="8">
        <f t="shared" ref="AE8" si="14">AVERAGE(AB8:AD8)</f>
        <v>0.99554945892394464</v>
      </c>
      <c r="AF8" s="8">
        <f t="shared" ref="AF8" si="15">AVERAGE(AC8:AE8)</f>
        <v>0.99955291368185739</v>
      </c>
      <c r="AG8" s="8">
        <f t="shared" ref="AG8" si="16">AVERAGE(AD8:AF8)</f>
        <v>1.0017815712374467</v>
      </c>
      <c r="AH8" s="8">
        <f t="shared" ref="AH8" si="17">AVERAGE(AE8:AG8)</f>
        <v>0.99896131461441617</v>
      </c>
    </row>
    <row r="9" spans="2:73" s="8" customFormat="1" x14ac:dyDescent="0.2">
      <c r="B9" s="8" t="s">
        <v>65</v>
      </c>
      <c r="C9" s="8">
        <v>5</v>
      </c>
      <c r="D9" s="34">
        <f t="shared" si="3"/>
        <v>-5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49">
        <f>AVERAGE(K9:M9)</f>
        <v>5.333333333333333</v>
      </c>
      <c r="P9" s="34"/>
      <c r="T9" s="8">
        <v>10.5</v>
      </c>
      <c r="U9" s="8">
        <v>12.7</v>
      </c>
      <c r="V9" s="8">
        <v>11</v>
      </c>
      <c r="W9" s="8">
        <v>9</v>
      </c>
      <c r="X9" s="49">
        <f t="shared" si="7"/>
        <v>12.333333333333332</v>
      </c>
      <c r="Y9" s="8">
        <f>AVERAGE(V9:X9)</f>
        <v>10.777777777777777</v>
      </c>
      <c r="Z9" s="8">
        <f t="shared" ref="Z9:AH9" si="18">AVERAGE(W9:Y9)</f>
        <v>10.703703703703702</v>
      </c>
      <c r="AA9" s="8">
        <f t="shared" si="18"/>
        <v>11.271604938271603</v>
      </c>
      <c r="AB9" s="8">
        <f t="shared" si="18"/>
        <v>10.917695473251028</v>
      </c>
      <c r="AC9" s="8">
        <f t="shared" si="18"/>
        <v>10.964334705075444</v>
      </c>
      <c r="AD9" s="8">
        <f t="shared" si="18"/>
        <v>11.051211705532692</v>
      </c>
      <c r="AE9" s="8">
        <f t="shared" si="18"/>
        <v>10.977747294619723</v>
      </c>
      <c r="AF9" s="8">
        <f t="shared" si="18"/>
        <v>10.997764568409288</v>
      </c>
      <c r="AG9" s="8">
        <f t="shared" si="18"/>
        <v>11.008907856187236</v>
      </c>
      <c r="AH9" s="8">
        <f t="shared" si="18"/>
        <v>10.994806573072083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-76.8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49">
        <f t="shared" si="19"/>
        <v>173.21003333333331</v>
      </c>
      <c r="P10" s="34"/>
      <c r="T10" s="8">
        <f>T5+T6+T7+T8-T9</f>
        <v>206.70000000000002</v>
      </c>
      <c r="U10" s="8">
        <f>U5+U6+U7+U8-U9</f>
        <v>224.10000000000002</v>
      </c>
      <c r="V10" s="8">
        <f>V5+V6+V7+V8-V9</f>
        <v>252.90000000000003</v>
      </c>
      <c r="W10" s="8">
        <f>W5+W6+W7+W8-W9</f>
        <v>304.39999999999998</v>
      </c>
      <c r="X10" s="49">
        <f>X5+X6+X7+X8-X9</f>
        <v>318.71003333333334</v>
      </c>
      <c r="Y10" s="8">
        <f t="shared" ref="Y10:AH10" si="20">Y5+Y6+Y7+Y8-Y9</f>
        <v>386.26448377777774</v>
      </c>
      <c r="Z10" s="8">
        <f t="shared" si="20"/>
        <v>457.61935011703702</v>
      </c>
      <c r="AA10" s="8">
        <f t="shared" si="20"/>
        <v>541.29384548378266</v>
      </c>
      <c r="AB10" s="8">
        <f t="shared" si="20"/>
        <v>640.84897635399102</v>
      </c>
      <c r="AC10" s="8">
        <f t="shared" si="20"/>
        <v>757.95262886039791</v>
      </c>
      <c r="AD10" s="8">
        <f t="shared" si="20"/>
        <v>896.10946465243455</v>
      </c>
      <c r="AE10" s="8">
        <f t="shared" si="20"/>
        <v>1059.2753143041996</v>
      </c>
      <c r="AF10" s="8">
        <f t="shared" si="20"/>
        <v>1251.7256526703491</v>
      </c>
      <c r="AG10" s="8">
        <f t="shared" si="20"/>
        <v>1478.8270336186406</v>
      </c>
      <c r="AH10" s="8">
        <f t="shared" si="20"/>
        <v>1746.8284634277791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-15.1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49">
        <f>N10*N23</f>
        <v>36.374106999999995</v>
      </c>
      <c r="P11" s="34"/>
      <c r="T11" s="8">
        <v>36.9</v>
      </c>
      <c r="U11" s="8">
        <v>39.700000000000003</v>
      </c>
      <c r="V11" s="8">
        <v>49.6</v>
      </c>
      <c r="W11" s="8">
        <v>60.2</v>
      </c>
      <c r="X11" s="49">
        <f>N11+M11</f>
        <v>67.074106999999998</v>
      </c>
      <c r="Y11" s="8">
        <f>Y10*Y23</f>
        <v>81.115541593333319</v>
      </c>
      <c r="Z11" s="8">
        <f t="shared" ref="Z11:AH11" si="21">Z10*Z23</f>
        <v>96.100063524577763</v>
      </c>
      <c r="AA11" s="8">
        <f t="shared" si="21"/>
        <v>113.67170755159435</v>
      </c>
      <c r="AB11" s="8">
        <f t="shared" si="21"/>
        <v>134.57828503433811</v>
      </c>
      <c r="AC11" s="8">
        <f t="shared" si="21"/>
        <v>159.17005206068356</v>
      </c>
      <c r="AD11" s="8">
        <f t="shared" si="21"/>
        <v>188.18298757701126</v>
      </c>
      <c r="AE11" s="8">
        <f t="shared" si="21"/>
        <v>222.44781600388191</v>
      </c>
      <c r="AF11" s="8">
        <f t="shared" si="21"/>
        <v>262.8623870607733</v>
      </c>
      <c r="AG11" s="8">
        <f t="shared" si="21"/>
        <v>310.55367705991449</v>
      </c>
      <c r="AH11" s="8">
        <f t="shared" si="21"/>
        <v>366.83397731983359</v>
      </c>
    </row>
    <row r="12" spans="2:73" s="32" customFormat="1" x14ac:dyDescent="0.2">
      <c r="B12" s="32" t="s">
        <v>68</v>
      </c>
      <c r="C12" s="32">
        <f t="shared" ref="C12:M12" si="22">C10-C11</f>
        <v>61.699999999999996</v>
      </c>
      <c r="D12" s="33">
        <f t="shared" si="22"/>
        <v>-61.699999999999996</v>
      </c>
      <c r="E12" s="32">
        <f t="shared" si="22"/>
        <v>74.599999999999994</v>
      </c>
      <c r="F12" s="33">
        <f t="shared" si="22"/>
        <v>95.200000000000017</v>
      </c>
      <c r="G12" s="32">
        <f t="shared" si="22"/>
        <v>85.000000000000014</v>
      </c>
      <c r="H12" s="33">
        <f t="shared" si="22"/>
        <v>99.40000000000002</v>
      </c>
      <c r="I12" s="32">
        <f t="shared" si="22"/>
        <v>77.3</v>
      </c>
      <c r="J12" s="33">
        <f t="shared" si="22"/>
        <v>126.00000000000003</v>
      </c>
      <c r="K12" s="32">
        <f t="shared" si="22"/>
        <v>135.69999999999999</v>
      </c>
      <c r="L12" s="33">
        <f t="shared" si="22"/>
        <v>108.49999999999997</v>
      </c>
      <c r="M12" s="32">
        <f t="shared" si="22"/>
        <v>114.8</v>
      </c>
      <c r="N12" s="48">
        <f>N10-N11</f>
        <v>136.8359263333333</v>
      </c>
      <c r="P12" s="33"/>
      <c r="T12" s="32">
        <f>T10-T11</f>
        <v>169.8</v>
      </c>
      <c r="U12" s="32">
        <f>U10-U11</f>
        <v>184.40000000000003</v>
      </c>
      <c r="V12" s="32">
        <f>V10-V11</f>
        <v>203.30000000000004</v>
      </c>
      <c r="W12" s="32">
        <f>W10-W11</f>
        <v>244.2</v>
      </c>
      <c r="X12" s="48">
        <f t="shared" ref="X12:AH12" si="23">X10-X11</f>
        <v>251.63592633333334</v>
      </c>
      <c r="Y12" s="32">
        <f t="shared" si="23"/>
        <v>305.14894218444442</v>
      </c>
      <c r="Z12" s="32">
        <f t="shared" si="23"/>
        <v>361.51928659245925</v>
      </c>
      <c r="AA12" s="32">
        <f t="shared" si="23"/>
        <v>427.62213793218831</v>
      </c>
      <c r="AB12" s="32">
        <f t="shared" si="23"/>
        <v>506.27069131965288</v>
      </c>
      <c r="AC12" s="32">
        <f t="shared" si="23"/>
        <v>598.78257679971432</v>
      </c>
      <c r="AD12" s="32">
        <f t="shared" si="23"/>
        <v>707.92647707542324</v>
      </c>
      <c r="AE12" s="32">
        <f t="shared" si="23"/>
        <v>836.82749830031764</v>
      </c>
      <c r="AF12" s="32">
        <f t="shared" si="23"/>
        <v>988.86326560957582</v>
      </c>
      <c r="AG12" s="32">
        <f t="shared" si="23"/>
        <v>1168.2733565587262</v>
      </c>
      <c r="AH12" s="32">
        <f t="shared" si="23"/>
        <v>1379.9944861079455</v>
      </c>
      <c r="AI12" s="32">
        <f>AH12*(1+$AK$21)</f>
        <v>1366.194541246866</v>
      </c>
      <c r="AJ12" s="32">
        <f t="shared" ref="AJ12:BU12" si="24">AI12*(1+$AK$21)</f>
        <v>1352.5325958343974</v>
      </c>
      <c r="AK12" s="32">
        <f t="shared" si="24"/>
        <v>1339.0072698760534</v>
      </c>
      <c r="AL12" s="32">
        <f t="shared" si="24"/>
        <v>1325.6171971772928</v>
      </c>
      <c r="AM12" s="32">
        <f t="shared" si="24"/>
        <v>1312.3610252055198</v>
      </c>
      <c r="AN12" s="32">
        <f t="shared" si="24"/>
        <v>1299.2374149534646</v>
      </c>
      <c r="AO12" s="32">
        <f t="shared" si="24"/>
        <v>1286.2450408039299</v>
      </c>
      <c r="AP12" s="32">
        <f t="shared" si="24"/>
        <v>1273.3825903958905</v>
      </c>
      <c r="AQ12" s="32">
        <f t="shared" si="24"/>
        <v>1260.6487644919316</v>
      </c>
      <c r="AR12" s="32">
        <f t="shared" si="24"/>
        <v>1248.0422768470123</v>
      </c>
      <c r="AS12" s="32">
        <f t="shared" si="24"/>
        <v>1235.5618540785422</v>
      </c>
      <c r="AT12" s="32">
        <f t="shared" si="24"/>
        <v>1223.2062355377568</v>
      </c>
      <c r="AU12" s="32">
        <f t="shared" si="24"/>
        <v>1210.9741731823792</v>
      </c>
      <c r="AV12" s="32">
        <f t="shared" si="24"/>
        <v>1198.8644314505555</v>
      </c>
      <c r="AW12" s="32">
        <f t="shared" si="24"/>
        <v>1186.8757871360499</v>
      </c>
      <c r="AX12" s="32">
        <f t="shared" si="24"/>
        <v>1175.0070292646894</v>
      </c>
      <c r="AY12" s="32">
        <f t="shared" si="24"/>
        <v>1163.2569589720426</v>
      </c>
      <c r="AZ12" s="32">
        <f t="shared" si="24"/>
        <v>1151.6243893823223</v>
      </c>
      <c r="BA12" s="32">
        <f t="shared" si="24"/>
        <v>1140.1081454884991</v>
      </c>
      <c r="BB12" s="32">
        <f t="shared" si="24"/>
        <v>1128.7070640336142</v>
      </c>
      <c r="BC12" s="32">
        <f t="shared" si="24"/>
        <v>1117.419993393278</v>
      </c>
      <c r="BD12" s="32">
        <f t="shared" si="24"/>
        <v>1106.2457934593451</v>
      </c>
      <c r="BE12" s="32">
        <f t="shared" si="24"/>
        <v>1095.1833355247516</v>
      </c>
      <c r="BF12" s="32">
        <f t="shared" si="24"/>
        <v>1084.231502169504</v>
      </c>
      <c r="BG12" s="32">
        <f t="shared" si="24"/>
        <v>1073.389187147809</v>
      </c>
      <c r="BH12" s="32">
        <f t="shared" si="24"/>
        <v>1062.6552952763309</v>
      </c>
      <c r="BI12" s="32">
        <f t="shared" si="24"/>
        <v>1052.0287423235675</v>
      </c>
      <c r="BJ12" s="32">
        <f t="shared" si="24"/>
        <v>1041.5084549003318</v>
      </c>
      <c r="BK12" s="32">
        <f t="shared" si="24"/>
        <v>1031.0933703513285</v>
      </c>
      <c r="BL12" s="32">
        <f t="shared" si="24"/>
        <v>1020.7824366478152</v>
      </c>
      <c r="BM12" s="32">
        <f t="shared" si="24"/>
        <v>1010.5746122813371</v>
      </c>
      <c r="BN12" s="32">
        <f t="shared" si="24"/>
        <v>1000.4688661585237</v>
      </c>
      <c r="BO12" s="32">
        <f t="shared" si="24"/>
        <v>990.46417749693853</v>
      </c>
      <c r="BP12" s="32">
        <f t="shared" si="24"/>
        <v>980.55953572196916</v>
      </c>
      <c r="BQ12" s="32">
        <f t="shared" si="24"/>
        <v>970.7539403647495</v>
      </c>
      <c r="BR12" s="32">
        <f t="shared" si="24"/>
        <v>961.04640096110199</v>
      </c>
      <c r="BS12" s="32">
        <f t="shared" si="24"/>
        <v>951.43593695149093</v>
      </c>
      <c r="BT12" s="32">
        <f t="shared" si="24"/>
        <v>941.92157758197607</v>
      </c>
      <c r="BU12" s="32">
        <f t="shared" si="24"/>
        <v>932.50236180615627</v>
      </c>
    </row>
    <row r="13" spans="2:73" s="32" customFormat="1" x14ac:dyDescent="0.2">
      <c r="B13" s="8" t="s">
        <v>71</v>
      </c>
      <c r="C13" s="32">
        <f t="shared" ref="C13:N13" si="25">C12+C14</f>
        <v>61.699999999999996</v>
      </c>
      <c r="D13" s="33">
        <f t="shared" si="25"/>
        <v>-61.699999999999996</v>
      </c>
      <c r="E13" s="32">
        <f t="shared" si="25"/>
        <v>74.599999999999994</v>
      </c>
      <c r="F13" s="33">
        <f t="shared" si="25"/>
        <v>95.200000000000017</v>
      </c>
      <c r="G13" s="32">
        <f t="shared" si="25"/>
        <v>85.000000000000014</v>
      </c>
      <c r="H13" s="33">
        <f t="shared" si="25"/>
        <v>99.40000000000002</v>
      </c>
      <c r="I13" s="32">
        <f t="shared" si="25"/>
        <v>77.3</v>
      </c>
      <c r="J13" s="33">
        <f t="shared" si="25"/>
        <v>125.90000000000003</v>
      </c>
      <c r="K13" s="32">
        <f t="shared" si="25"/>
        <v>135.79999999999998</v>
      </c>
      <c r="L13" s="33">
        <f t="shared" si="25"/>
        <v>108.19999999999997</v>
      </c>
      <c r="M13" s="32">
        <f t="shared" si="25"/>
        <v>115</v>
      </c>
      <c r="N13" s="48">
        <f t="shared" si="25"/>
        <v>136.97276225966664</v>
      </c>
      <c r="P13" s="33"/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48">
        <f t="shared" ref="X13" si="26">X12+X14</f>
        <v>251.97276225966667</v>
      </c>
      <c r="Y13" s="32">
        <f>Y12+Y14</f>
        <v>305.18861154692843</v>
      </c>
      <c r="Z13" s="32">
        <f t="shared" ref="Z13:AH13" si="27">Z12+Z14</f>
        <v>361.56628409971626</v>
      </c>
      <c r="AA13" s="32">
        <f t="shared" si="27"/>
        <v>427.6777288101195</v>
      </c>
      <c r="AB13" s="32">
        <f t="shared" si="27"/>
        <v>506.33650650952444</v>
      </c>
      <c r="AC13" s="32">
        <f t="shared" si="27"/>
        <v>598.86041853469828</v>
      </c>
      <c r="AD13" s="32">
        <f t="shared" si="27"/>
        <v>708.01850751744303</v>
      </c>
      <c r="AE13" s="32">
        <f t="shared" si="27"/>
        <v>836.9362858750967</v>
      </c>
      <c r="AF13" s="32">
        <f t="shared" si="27"/>
        <v>988.99181783410506</v>
      </c>
      <c r="AG13" s="32">
        <f t="shared" si="27"/>
        <v>1168.4252320950789</v>
      </c>
      <c r="AH13" s="32">
        <f t="shared" si="27"/>
        <v>1380.1738853911395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28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49">
        <f>N12*0.001</f>
        <v>0.1368359263333333</v>
      </c>
      <c r="P14" s="34"/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49">
        <f>N14+M14</f>
        <v>0.33683592633333331</v>
      </c>
      <c r="Y14" s="8">
        <f>Y12*0.00013</f>
        <v>3.9669362483977774E-2</v>
      </c>
      <c r="Z14" s="8">
        <f t="shared" ref="Z14:AH14" si="29">Z12*0.00013</f>
        <v>4.6997507257019698E-2</v>
      </c>
      <c r="AA14" s="8">
        <f t="shared" si="29"/>
        <v>5.5590877931184474E-2</v>
      </c>
      <c r="AB14" s="8">
        <f t="shared" si="29"/>
        <v>6.5815189871554866E-2</v>
      </c>
      <c r="AC14" s="8">
        <f t="shared" si="29"/>
        <v>7.7841734983962851E-2</v>
      </c>
      <c r="AD14" s="8">
        <f t="shared" si="29"/>
        <v>9.2030442019805009E-2</v>
      </c>
      <c r="AE14" s="8">
        <f t="shared" si="29"/>
        <v>0.10878757477904129</v>
      </c>
      <c r="AF14" s="8">
        <f t="shared" si="29"/>
        <v>0.12855222452924484</v>
      </c>
      <c r="AG14" s="8">
        <f t="shared" si="29"/>
        <v>0.1518755363526344</v>
      </c>
      <c r="AH14" s="8">
        <f t="shared" si="29"/>
        <v>0.17939928319403289</v>
      </c>
    </row>
    <row r="15" spans="2:73" s="35" customFormat="1" x14ac:dyDescent="0.2">
      <c r="B15" s="35" t="s">
        <v>70</v>
      </c>
      <c r="C15" s="35">
        <f t="shared" ref="C15:N15" si="30">C12/C16</f>
        <v>0.16270266756508422</v>
      </c>
      <c r="D15" s="36" t="e">
        <f t="shared" si="30"/>
        <v>#DIV/0!</v>
      </c>
      <c r="E15" s="35">
        <f t="shared" si="30"/>
        <v>0.19681108372907286</v>
      </c>
      <c r="F15" s="36">
        <f t="shared" si="30"/>
        <v>0.25108149993397905</v>
      </c>
      <c r="G15" s="35">
        <f t="shared" si="30"/>
        <v>0.22419479233636896</v>
      </c>
      <c r="H15" s="36">
        <f t="shared" si="30"/>
        <v>0.26220905435668357</v>
      </c>
      <c r="I15" s="35">
        <f t="shared" si="30"/>
        <v>0.20390802308932054</v>
      </c>
      <c r="J15" s="36">
        <f t="shared" si="30"/>
        <v>0.33271719038817016</v>
      </c>
      <c r="K15" s="35">
        <f t="shared" si="30"/>
        <v>0.35795304668952777</v>
      </c>
      <c r="L15" s="36">
        <f t="shared" si="30"/>
        <v>0.28650646950092412</v>
      </c>
      <c r="M15" s="35">
        <f t="shared" si="30"/>
        <v>0.30354309888947645</v>
      </c>
      <c r="N15" s="50">
        <f t="shared" si="30"/>
        <v>0.36180837211352013</v>
      </c>
      <c r="P15" s="36"/>
      <c r="T15" s="35">
        <f t="shared" ref="T15:U15" si="31">T12/T16</f>
        <v>0.44783233916795839</v>
      </c>
      <c r="U15" s="35">
        <f t="shared" si="31"/>
        <v>0.48643208876632238</v>
      </c>
      <c r="V15" s="35">
        <f>V12/V16</f>
        <v>0.53612869198312252</v>
      </c>
      <c r="W15" s="35">
        <f>W12/W16</f>
        <v>0.6448376023237391</v>
      </c>
      <c r="X15" s="50">
        <f>X13/X16</f>
        <v>0.66624210010488283</v>
      </c>
      <c r="Y15" s="35">
        <f>Y13/Y16</f>
        <v>0.80695032138267697</v>
      </c>
      <c r="Z15" s="35">
        <f t="shared" ref="Z15:AH15" si="32">Z13/Z16</f>
        <v>0.95601873109390867</v>
      </c>
      <c r="AA15" s="35">
        <f t="shared" si="32"/>
        <v>1.1308242432842928</v>
      </c>
      <c r="AB15" s="35">
        <f t="shared" si="32"/>
        <v>1.3388062044143958</v>
      </c>
      <c r="AC15" s="35">
        <f t="shared" si="32"/>
        <v>1.5834490178072405</v>
      </c>
      <c r="AD15" s="35">
        <f t="shared" si="32"/>
        <v>1.8720743191894316</v>
      </c>
      <c r="AE15" s="35">
        <f t="shared" si="32"/>
        <v>2.21294628734822</v>
      </c>
      <c r="AF15" s="35">
        <f t="shared" si="32"/>
        <v>2.6149968742308438</v>
      </c>
      <c r="AG15" s="35">
        <f t="shared" si="32"/>
        <v>3.0894374196062371</v>
      </c>
      <c r="AH15" s="35">
        <f t="shared" si="32"/>
        <v>3.6493228064281849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0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49">
        <f>M16</f>
        <v>378.2</v>
      </c>
      <c r="P16" s="34"/>
      <c r="T16" s="8">
        <v>379.15975500000002</v>
      </c>
      <c r="U16" s="8">
        <v>379.08683300000001</v>
      </c>
      <c r="V16" s="8">
        <v>379.2</v>
      </c>
      <c r="W16" s="8">
        <v>378.7</v>
      </c>
      <c r="X16" s="49">
        <f>N16</f>
        <v>378.2</v>
      </c>
      <c r="Y16" s="8">
        <f>X16</f>
        <v>378.2</v>
      </c>
      <c r="Z16" s="8">
        <f t="shared" ref="Z16:AH16" si="33">Y16</f>
        <v>378.2</v>
      </c>
      <c r="AA16" s="8">
        <f t="shared" si="33"/>
        <v>378.2</v>
      </c>
      <c r="AB16" s="8">
        <f t="shared" si="33"/>
        <v>378.2</v>
      </c>
      <c r="AC16" s="8">
        <f t="shared" si="33"/>
        <v>378.2</v>
      </c>
      <c r="AD16" s="8">
        <f t="shared" si="33"/>
        <v>378.2</v>
      </c>
      <c r="AE16" s="8">
        <f t="shared" si="33"/>
        <v>378.2</v>
      </c>
      <c r="AF16" s="8">
        <f t="shared" si="33"/>
        <v>378.2</v>
      </c>
      <c r="AG16" s="8">
        <f t="shared" si="33"/>
        <v>378.2</v>
      </c>
      <c r="AH16" s="8">
        <f t="shared" si="33"/>
        <v>378.2</v>
      </c>
    </row>
    <row r="18" spans="2:37" s="39" customFormat="1" x14ac:dyDescent="0.2">
      <c r="B18" s="39" t="s">
        <v>72</v>
      </c>
      <c r="D18" s="40"/>
      <c r="E18" s="39">
        <f>E4/C4-1</f>
        <v>0.15642899466719329</v>
      </c>
      <c r="F18" s="40"/>
      <c r="G18" s="39">
        <f>G4/E4-1</f>
        <v>0.11648163962425295</v>
      </c>
      <c r="H18" s="40">
        <f>H4/F4-1</f>
        <v>9.4819315637991508E-2</v>
      </c>
      <c r="I18" s="39">
        <f>I4/G4-1</f>
        <v>-5.4000305950742011E-2</v>
      </c>
      <c r="J18" s="40">
        <f>J4/H4-1</f>
        <v>2.2053454067474831E-2</v>
      </c>
      <c r="K18" s="39">
        <f>K4/I4-1</f>
        <v>0.19210866752910749</v>
      </c>
      <c r="L18" s="40">
        <f>L4/J4-1</f>
        <v>0.1261789082595024</v>
      </c>
      <c r="M18" s="39">
        <f>M4/K4-1</f>
        <v>0.18760173629951149</v>
      </c>
      <c r="N18" s="51"/>
      <c r="P18" s="40"/>
      <c r="U18" s="39">
        <f t="shared" ref="U18:V18" si="34">U4/T4-1</f>
        <v>0.10529358328515981</v>
      </c>
      <c r="V18" s="39">
        <f t="shared" si="34"/>
        <v>-1.5092647937836268E-2</v>
      </c>
      <c r="W18" s="39">
        <f>W4/V4-1</f>
        <v>0.15710817781823683</v>
      </c>
      <c r="X18" s="51">
        <f>X4/W4-1</f>
        <v>0.22258899888546524</v>
      </c>
      <c r="Y18" s="39">
        <v>0.18</v>
      </c>
      <c r="Z18" s="39">
        <v>0.18</v>
      </c>
      <c r="AA18" s="39">
        <v>0.18</v>
      </c>
      <c r="AB18" s="39">
        <v>0.18</v>
      </c>
      <c r="AC18" s="39">
        <v>0.18</v>
      </c>
      <c r="AD18" s="39">
        <v>0.18</v>
      </c>
      <c r="AE18" s="39">
        <v>0.18</v>
      </c>
      <c r="AF18" s="39">
        <v>0.18</v>
      </c>
      <c r="AG18" s="39">
        <v>0.18</v>
      </c>
      <c r="AH18" s="39">
        <v>0.18</v>
      </c>
    </row>
    <row r="19" spans="2:37" s="37" customFormat="1" x14ac:dyDescent="0.2">
      <c r="B19" s="37" t="s">
        <v>73</v>
      </c>
      <c r="D19" s="38"/>
      <c r="F19" s="38">
        <f>F4/E4-1</f>
        <v>6.8146883005977932E-2</v>
      </c>
      <c r="G19" s="37">
        <f>G4/F4-1</f>
        <v>4.5251039334825549E-2</v>
      </c>
      <c r="H19" s="38">
        <f>H4/G4-1</f>
        <v>4.7422364999235134E-2</v>
      </c>
      <c r="I19" s="37">
        <f>I4/H4-1</f>
        <v>-9.6830728786329923E-2</v>
      </c>
      <c r="J19" s="38">
        <f>J4/I4-1</f>
        <v>0.13163001293661081</v>
      </c>
      <c r="K19" s="37">
        <f>K4/J4-1</f>
        <v>5.3443841097456479E-2</v>
      </c>
      <c r="L19" s="38">
        <f>L4/K4-1</f>
        <v>6.9045035268583632E-2</v>
      </c>
      <c r="M19" s="37">
        <f>M4/L4-1</f>
        <v>0.11089963202639264</v>
      </c>
      <c r="N19" s="52">
        <v>0.13</v>
      </c>
      <c r="P19" s="38"/>
      <c r="S19" s="91" t="s">
        <v>105</v>
      </c>
      <c r="T19" s="91" t="s">
        <v>105</v>
      </c>
      <c r="U19" s="91" t="s">
        <v>105</v>
      </c>
      <c r="V19" s="91" t="s">
        <v>105</v>
      </c>
      <c r="W19" s="91" t="s">
        <v>105</v>
      </c>
      <c r="X19" s="52"/>
    </row>
    <row r="21" spans="2:37" s="37" customFormat="1" x14ac:dyDescent="0.2">
      <c r="B21" s="37" t="s">
        <v>74</v>
      </c>
      <c r="C21" s="37">
        <f>C5/C4</f>
        <v>0.16156428994667194</v>
      </c>
      <c r="D21" s="38"/>
      <c r="E21" s="37">
        <f>E5/E4</f>
        <v>0.17147736976942785</v>
      </c>
      <c r="F21" s="38">
        <f>F5/F4</f>
        <v>0.18771985929005436</v>
      </c>
      <c r="G21" s="37">
        <f>G5/G4</f>
        <v>0.17072051399724641</v>
      </c>
      <c r="H21" s="38">
        <f>H5/H4</f>
        <v>0.17788812618665109</v>
      </c>
      <c r="I21" s="37">
        <f>I5/I4</f>
        <v>0.16510349288486417</v>
      </c>
      <c r="J21" s="38">
        <f>J5/J4</f>
        <v>0.19819948556730496</v>
      </c>
      <c r="K21" s="37">
        <f>K5/K4</f>
        <v>0.18665219750406944</v>
      </c>
      <c r="L21" s="38">
        <f>L5/L4</f>
        <v>0.1792919680243624</v>
      </c>
      <c r="M21" s="37">
        <f>M5/M4</f>
        <v>0.17327241576242147</v>
      </c>
      <c r="N21" s="52"/>
      <c r="P21" s="38"/>
      <c r="T21" s="37">
        <f t="shared" ref="T21" si="35">T5/T4</f>
        <v>0.17986621521182591</v>
      </c>
      <c r="U21" s="37">
        <f t="shared" ref="U21" si="36">U5/U4</f>
        <v>0.17438732815301852</v>
      </c>
      <c r="V21" s="37">
        <f t="shared" ref="V21:W21" si="37">V5/V4</f>
        <v>0.18267334243665606</v>
      </c>
      <c r="W21" s="37">
        <f t="shared" si="37"/>
        <v>0.18284927555235034</v>
      </c>
      <c r="X21" s="52">
        <f t="shared" ref="X21:AH21" si="38">X5/X4</f>
        <v>0.1768415097476157</v>
      </c>
      <c r="Y21" s="37">
        <f t="shared" si="38"/>
        <v>0.18</v>
      </c>
      <c r="Z21" s="37">
        <f t="shared" si="38"/>
        <v>0.18</v>
      </c>
      <c r="AA21" s="37">
        <f t="shared" si="38"/>
        <v>0.18</v>
      </c>
      <c r="AB21" s="37">
        <f t="shared" si="38"/>
        <v>0.18</v>
      </c>
      <c r="AC21" s="37">
        <f t="shared" si="38"/>
        <v>0.18</v>
      </c>
      <c r="AD21" s="37">
        <f t="shared" si="38"/>
        <v>0.18</v>
      </c>
      <c r="AE21" s="37">
        <f t="shared" si="38"/>
        <v>0.17999999999999997</v>
      </c>
      <c r="AF21" s="37">
        <f t="shared" si="38"/>
        <v>0.18</v>
      </c>
      <c r="AG21" s="37">
        <f t="shared" si="38"/>
        <v>0.18</v>
      </c>
      <c r="AH21" s="37">
        <f t="shared" si="38"/>
        <v>0.18</v>
      </c>
      <c r="AJ21" s="59" t="s">
        <v>108</v>
      </c>
      <c r="AK21" s="64">
        <v>-0.01</v>
      </c>
    </row>
    <row r="22" spans="2:37" s="37" customFormat="1" x14ac:dyDescent="0.2">
      <c r="B22" s="37" t="s">
        <v>75</v>
      </c>
      <c r="C22" s="37">
        <f>C12/C4</f>
        <v>0.12186450720916452</v>
      </c>
      <c r="D22" s="38"/>
      <c r="E22" s="37">
        <f>E12/E4</f>
        <v>0.12741246797608879</v>
      </c>
      <c r="F22" s="38">
        <f>F12/F4</f>
        <v>0.15222257755036778</v>
      </c>
      <c r="G22" s="37">
        <f>G12/G4</f>
        <v>0.13002906532048342</v>
      </c>
      <c r="H22" s="38">
        <f>H12/H4</f>
        <v>0.14517306849715206</v>
      </c>
      <c r="I22" s="37">
        <f>I12/I4</f>
        <v>0.125</v>
      </c>
      <c r="J22" s="38">
        <f>J12/J4</f>
        <v>0.18005144326950559</v>
      </c>
      <c r="K22" s="37">
        <f>K12/K4</f>
        <v>0.18407487791644056</v>
      </c>
      <c r="L22" s="38">
        <f>L12/L4</f>
        <v>0.13767288415175738</v>
      </c>
      <c r="M22" s="37">
        <f>M12/M4</f>
        <v>0.1311250713877784</v>
      </c>
      <c r="N22" s="52"/>
      <c r="P22" s="38"/>
      <c r="T22" s="37">
        <f t="shared" ref="T22" si="39">T12/T4</f>
        <v>0.14022627797505988</v>
      </c>
      <c r="U22" s="37">
        <f t="shared" ref="U22" si="40">U12/U4</f>
        <v>0.13777644949193069</v>
      </c>
      <c r="V22" s="37">
        <f t="shared" ref="V22:W22" si="41">V12/V4</f>
        <v>0.1542254589591868</v>
      </c>
      <c r="W22" s="37">
        <f t="shared" si="41"/>
        <v>0.16009965252737166</v>
      </c>
      <c r="X22" s="52">
        <f t="shared" ref="X22:AH22" si="42">X12/X4</f>
        <v>0.13493881502097169</v>
      </c>
      <c r="Y22" s="37">
        <f t="shared" si="42"/>
        <v>0.13867370139203813</v>
      </c>
      <c r="Z22" s="37">
        <f t="shared" si="42"/>
        <v>0.13922964084330744</v>
      </c>
      <c r="AA22" s="37">
        <f t="shared" si="42"/>
        <v>0.13956560569635687</v>
      </c>
      <c r="AB22" s="37">
        <f t="shared" si="42"/>
        <v>0.14002932751943725</v>
      </c>
      <c r="AC22" s="37">
        <f t="shared" si="42"/>
        <v>0.14035353793131092</v>
      </c>
      <c r="AD22" s="37">
        <f t="shared" si="42"/>
        <v>0.14062429491834813</v>
      </c>
      <c r="AE22" s="37">
        <f t="shared" si="42"/>
        <v>0.14087247270548028</v>
      </c>
      <c r="AF22" s="37">
        <f t="shared" si="42"/>
        <v>0.14107317206442571</v>
      </c>
      <c r="AG22" s="37">
        <f t="shared" si="42"/>
        <v>0.14124420962653625</v>
      </c>
      <c r="AH22" s="37">
        <f t="shared" si="42"/>
        <v>0.14139092126132088</v>
      </c>
      <c r="AJ22" s="60" t="s">
        <v>109</v>
      </c>
      <c r="AK22" s="65">
        <v>0.08</v>
      </c>
    </row>
    <row r="23" spans="2:37" s="37" customFormat="1" x14ac:dyDescent="0.2">
      <c r="B23" s="37" t="s">
        <v>104</v>
      </c>
      <c r="C23" s="37">
        <f>C11/C10</f>
        <v>0.19661458333333334</v>
      </c>
      <c r="D23" s="38"/>
      <c r="E23" s="37">
        <f>E11/E10</f>
        <v>0.21058201058201056</v>
      </c>
      <c r="F23" s="38">
        <f>F11/F10</f>
        <v>0.15151515151515149</v>
      </c>
      <c r="G23" s="37">
        <f>G11/G10</f>
        <v>0.19659735349716445</v>
      </c>
      <c r="H23" s="38">
        <f>H11/H10</f>
        <v>0.15976331360946744</v>
      </c>
      <c r="I23" s="37">
        <f>I11/I10</f>
        <v>0.19730010384215993</v>
      </c>
      <c r="J23" s="38">
        <f>J11/J10</f>
        <v>0.1954022988505747</v>
      </c>
      <c r="K23" s="37">
        <f>K11/K10</f>
        <v>0.18985074626865672</v>
      </c>
      <c r="L23" s="38">
        <f>L11/L10</f>
        <v>0.20745069393718046</v>
      </c>
      <c r="M23" s="37">
        <f>M11/M10</f>
        <v>0.21099656357388316</v>
      </c>
      <c r="N23" s="52">
        <v>0.21</v>
      </c>
      <c r="P23" s="38"/>
      <c r="T23" s="37">
        <f t="shared" ref="T23" si="43">T11/T10</f>
        <v>0.17851959361393321</v>
      </c>
      <c r="U23" s="37">
        <f t="shared" ref="U23" si="44">U11/U10</f>
        <v>0.17715305667112896</v>
      </c>
      <c r="V23" s="37">
        <f t="shared" ref="V23:W23" si="45">V11/V10</f>
        <v>0.19612495057334914</v>
      </c>
      <c r="W23" s="37">
        <f t="shared" si="45"/>
        <v>0.19776609724047309</v>
      </c>
      <c r="X23" s="52">
        <f t="shared" ref="X23" si="46">X11/X10</f>
        <v>0.21045495900610178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60" t="s">
        <v>110</v>
      </c>
      <c r="AK23" s="66">
        <f>NPV(AK22,X12:BU12)</f>
        <v>10602.370197716416</v>
      </c>
    </row>
    <row r="24" spans="2:37" x14ac:dyDescent="0.2">
      <c r="AJ24" s="61" t="s">
        <v>9</v>
      </c>
      <c r="AK24" s="12">
        <f>Main!C11</f>
        <v>-567.6</v>
      </c>
    </row>
    <row r="25" spans="2:37" x14ac:dyDescent="0.2">
      <c r="AJ25" s="61" t="s">
        <v>111</v>
      </c>
      <c r="AK25" s="67">
        <f>AK23+AK24</f>
        <v>10034.770197716416</v>
      </c>
    </row>
    <row r="26" spans="2:37" x14ac:dyDescent="0.2">
      <c r="AJ26" s="62" t="s">
        <v>112</v>
      </c>
      <c r="AK26" s="68">
        <f>AK25/Main!C7</f>
        <v>26.532972495284021</v>
      </c>
    </row>
    <row r="27" spans="2:37" x14ac:dyDescent="0.2">
      <c r="B27" s="41" t="s">
        <v>76</v>
      </c>
      <c r="AJ27" s="61" t="s">
        <v>113</v>
      </c>
      <c r="AK27" s="12">
        <f>Main!C6</f>
        <v>21.17</v>
      </c>
    </row>
    <row r="28" spans="2:37" x14ac:dyDescent="0.2">
      <c r="B28" s="1" t="s">
        <v>77</v>
      </c>
      <c r="C28" s="1">
        <f>216.4+586.8</f>
        <v>803.19999999999993</v>
      </c>
      <c r="E28" s="1">
        <f>655.6+229.9</f>
        <v>885.5</v>
      </c>
      <c r="F28" s="34">
        <f>T28</f>
        <v>939.2</v>
      </c>
      <c r="G28" s="8">
        <f>765.5+272.4</f>
        <v>1037.9000000000001</v>
      </c>
      <c r="H28" s="34">
        <f>U28</f>
        <v>1166.8</v>
      </c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T28" s="8">
        <f>694+245.2</f>
        <v>939.2</v>
      </c>
      <c r="U28" s="8">
        <f>838.4+328.4</f>
        <v>1166.8</v>
      </c>
      <c r="V28" s="8">
        <f>808.5+290</f>
        <v>1098.5</v>
      </c>
      <c r="W28" s="8">
        <f>908.7+325.2</f>
        <v>1233.9000000000001</v>
      </c>
      <c r="AJ28" s="63" t="s">
        <v>114</v>
      </c>
      <c r="AK28" s="69">
        <f>AK26/AK27-1</f>
        <v>0.25332888499215955</v>
      </c>
    </row>
    <row r="29" spans="2:37" x14ac:dyDescent="0.2">
      <c r="B29" s="1" t="s">
        <v>78</v>
      </c>
      <c r="C29" s="1">
        <v>102.6</v>
      </c>
      <c r="E29" s="1">
        <v>109.6</v>
      </c>
      <c r="F29" s="34">
        <f>T29</f>
        <v>112.4</v>
      </c>
      <c r="G29" s="8">
        <v>171.7</v>
      </c>
      <c r="H29" s="34">
        <f>U29</f>
        <v>184.3</v>
      </c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T29" s="8">
        <v>112.4</v>
      </c>
      <c r="U29" s="8">
        <v>184.3</v>
      </c>
      <c r="V29" s="8">
        <v>180.8</v>
      </c>
      <c r="W29" s="8">
        <v>194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27"/>
      <c r="E30" s="2">
        <v>3.9</v>
      </c>
      <c r="F30" s="33">
        <f>T30</f>
        <v>3.9</v>
      </c>
      <c r="G30" s="32">
        <v>5.5</v>
      </c>
      <c r="H30" s="33">
        <f>U30</f>
        <v>4.8</v>
      </c>
      <c r="I30" s="32">
        <v>4.8</v>
      </c>
      <c r="J30" s="33">
        <f>V30</f>
        <v>9.3000000000000007</v>
      </c>
      <c r="K30" s="32">
        <v>9.9</v>
      </c>
      <c r="L30" s="34">
        <f t="shared" ref="L30:L37" si="47">W30</f>
        <v>8.1999999999999993</v>
      </c>
      <c r="M30" s="32">
        <v>19.8</v>
      </c>
      <c r="N30" s="54"/>
      <c r="P30" s="27"/>
      <c r="T30" s="32">
        <v>3.9</v>
      </c>
      <c r="U30" s="32">
        <v>4.8</v>
      </c>
      <c r="V30" s="32">
        <v>9.3000000000000007</v>
      </c>
      <c r="W30" s="32">
        <v>8.1999999999999993</v>
      </c>
      <c r="X30" s="54"/>
    </row>
    <row r="31" spans="2:37" x14ac:dyDescent="0.2">
      <c r="B31" s="1" t="s">
        <v>80</v>
      </c>
      <c r="C31" s="1">
        <v>0</v>
      </c>
      <c r="E31" s="1">
        <v>0</v>
      </c>
      <c r="F31" s="34">
        <f t="shared" ref="F31:F33" si="48">T31</f>
        <v>0</v>
      </c>
      <c r="G31" s="8">
        <v>0</v>
      </c>
      <c r="H31" s="34">
        <f t="shared" ref="H31:H33" si="49">U31</f>
        <v>5.4</v>
      </c>
      <c r="I31" s="8">
        <v>0</v>
      </c>
      <c r="J31" s="34">
        <f t="shared" ref="J31:J33" si="50">V31</f>
        <v>0</v>
      </c>
      <c r="K31" s="8">
        <v>4.8</v>
      </c>
      <c r="L31" s="34">
        <f t="shared" si="47"/>
        <v>31.1</v>
      </c>
      <c r="M31" s="8">
        <v>43.9</v>
      </c>
      <c r="T31" s="8">
        <v>0</v>
      </c>
      <c r="U31" s="8">
        <v>5.4</v>
      </c>
      <c r="V31" s="8">
        <v>0</v>
      </c>
      <c r="W31" s="8">
        <v>31.1</v>
      </c>
    </row>
    <row r="32" spans="2:37" x14ac:dyDescent="0.2">
      <c r="B32" s="1" t="s">
        <v>81</v>
      </c>
      <c r="C32" s="1">
        <v>0</v>
      </c>
      <c r="E32" s="1">
        <v>0</v>
      </c>
      <c r="F32" s="34">
        <f t="shared" si="48"/>
        <v>0</v>
      </c>
      <c r="G32" s="8">
        <v>0</v>
      </c>
      <c r="H32" s="34">
        <f t="shared" si="49"/>
        <v>0</v>
      </c>
      <c r="I32" s="8">
        <v>0</v>
      </c>
      <c r="J32" s="34">
        <f t="shared" si="50"/>
        <v>13.9</v>
      </c>
      <c r="K32" s="8">
        <v>14.7</v>
      </c>
      <c r="L32" s="34">
        <f t="shared" si="47"/>
        <v>14.7</v>
      </c>
      <c r="M32" s="8">
        <v>14.7</v>
      </c>
      <c r="T32" s="8">
        <v>0</v>
      </c>
      <c r="U32" s="8">
        <v>0</v>
      </c>
      <c r="V32" s="8">
        <v>13.9</v>
      </c>
      <c r="W32" s="8">
        <v>14.7</v>
      </c>
    </row>
    <row r="33" spans="2:24" x14ac:dyDescent="0.2">
      <c r="B33" s="1" t="s">
        <v>82</v>
      </c>
      <c r="C33" s="1">
        <v>55.3</v>
      </c>
      <c r="E33" s="1">
        <v>30.9</v>
      </c>
      <c r="F33" s="34">
        <f t="shared" si="48"/>
        <v>1.4</v>
      </c>
      <c r="G33" s="8">
        <v>1.4</v>
      </c>
      <c r="H33" s="34">
        <f t="shared" si="49"/>
        <v>1.3</v>
      </c>
      <c r="I33" s="8">
        <v>5.6</v>
      </c>
      <c r="J33" s="34">
        <f t="shared" si="50"/>
        <v>1.3</v>
      </c>
      <c r="K33" s="8">
        <v>1.9</v>
      </c>
      <c r="L33" s="34">
        <f t="shared" si="47"/>
        <v>2.4</v>
      </c>
      <c r="M33" s="8">
        <v>2.8</v>
      </c>
      <c r="T33" s="8">
        <v>1.4</v>
      </c>
      <c r="U33" s="8">
        <v>1.3</v>
      </c>
      <c r="V33" s="8">
        <v>1.3</v>
      </c>
      <c r="W33" s="8">
        <v>2.4</v>
      </c>
    </row>
    <row r="34" spans="2:24" x14ac:dyDescent="0.2">
      <c r="B34" s="1" t="s">
        <v>83</v>
      </c>
      <c r="C34" s="8">
        <f>SUM(C28:C33)</f>
        <v>964.49999999999989</v>
      </c>
      <c r="E34" s="8">
        <f>SUM(E28:E33)</f>
        <v>1029.9000000000001</v>
      </c>
      <c r="F34" s="34">
        <f>SUM(F28:F33)</f>
        <v>1056.9000000000003</v>
      </c>
      <c r="G34" s="8">
        <f>SUM(G28:G33)</f>
        <v>1216.5000000000002</v>
      </c>
      <c r="H34" s="34">
        <f>SUM(H28:H33)</f>
        <v>1362.6</v>
      </c>
      <c r="I34" s="8">
        <f>SUM(I28:I33)</f>
        <v>1328.6999999999998</v>
      </c>
      <c r="J34" s="34">
        <f>SUM(J28:J33)</f>
        <v>1303.8</v>
      </c>
      <c r="K34" s="8">
        <f>SUM(K28:K33)</f>
        <v>1404.7000000000003</v>
      </c>
      <c r="L34" s="34">
        <f>SUM(L28:L33)</f>
        <v>1484.3000000000002</v>
      </c>
      <c r="M34" s="8">
        <f>SUM(M28:M33)</f>
        <v>1826.1000000000001</v>
      </c>
      <c r="T34" s="8">
        <f>SUM(T28:T33)</f>
        <v>1056.9000000000003</v>
      </c>
      <c r="U34" s="8">
        <f>SUM(U28:U33)</f>
        <v>1362.6</v>
      </c>
      <c r="V34" s="8">
        <f>SUM(V28:V33)</f>
        <v>1303.8</v>
      </c>
      <c r="W34" s="8">
        <f>SUM(W28:W33)</f>
        <v>1484.3000000000002</v>
      </c>
    </row>
    <row r="35" spans="2:24" x14ac:dyDescent="0.2">
      <c r="B35" s="1" t="s">
        <v>84</v>
      </c>
      <c r="C35" s="1">
        <v>124.2</v>
      </c>
      <c r="E35" s="1">
        <v>141.19999999999999</v>
      </c>
      <c r="F35" s="34">
        <f t="shared" ref="F35:F37" si="51">T35</f>
        <v>144.30000000000001</v>
      </c>
      <c r="G35" s="8">
        <v>162.9</v>
      </c>
      <c r="H35" s="34">
        <f t="shared" ref="H35:H37" si="52">U35</f>
        <v>170.6</v>
      </c>
      <c r="I35" s="8">
        <v>175.8</v>
      </c>
      <c r="J35" s="34">
        <f t="shared" ref="J35:J37" si="53">V35</f>
        <v>167.8</v>
      </c>
      <c r="K35" s="8">
        <v>193.2</v>
      </c>
      <c r="L35" s="34">
        <f t="shared" si="47"/>
        <v>228.8</v>
      </c>
      <c r="M35" s="8">
        <v>308.8</v>
      </c>
      <c r="T35" s="8">
        <v>144.30000000000001</v>
      </c>
      <c r="U35" s="8">
        <v>170.6</v>
      </c>
      <c r="V35" s="8">
        <v>167.8</v>
      </c>
      <c r="W35" s="8">
        <v>228.8</v>
      </c>
    </row>
    <row r="36" spans="2:24" x14ac:dyDescent="0.2">
      <c r="B36" s="1" t="s">
        <v>85</v>
      </c>
      <c r="C36" s="1">
        <v>203.4</v>
      </c>
      <c r="E36" s="1">
        <v>241.8</v>
      </c>
      <c r="F36" s="34">
        <f t="shared" si="51"/>
        <v>259.60000000000002</v>
      </c>
      <c r="G36" s="8">
        <v>275.2</v>
      </c>
      <c r="H36" s="34">
        <f t="shared" si="52"/>
        <v>286.60000000000002</v>
      </c>
      <c r="I36" s="8">
        <v>245.3</v>
      </c>
      <c r="J36" s="34">
        <f t="shared" si="53"/>
        <v>268</v>
      </c>
      <c r="K36" s="8">
        <v>279.2</v>
      </c>
      <c r="L36" s="34">
        <f t="shared" si="47"/>
        <v>325.10000000000002</v>
      </c>
      <c r="M36" s="8">
        <v>389.9</v>
      </c>
      <c r="T36" s="8">
        <v>259.60000000000002</v>
      </c>
      <c r="U36" s="8">
        <v>286.60000000000002</v>
      </c>
      <c r="V36" s="8">
        <v>268</v>
      </c>
      <c r="W36" s="8">
        <v>325.10000000000002</v>
      </c>
    </row>
    <row r="37" spans="2:24" x14ac:dyDescent="0.2">
      <c r="B37" s="1" t="s">
        <v>81</v>
      </c>
      <c r="C37" s="1">
        <v>0.4</v>
      </c>
      <c r="E37" s="1">
        <v>0.7</v>
      </c>
      <c r="F37" s="34">
        <f t="shared" si="51"/>
        <v>0.2</v>
      </c>
      <c r="G37" s="8">
        <v>4.8</v>
      </c>
      <c r="H37" s="34">
        <f t="shared" si="52"/>
        <v>10.7</v>
      </c>
      <c r="I37" s="8">
        <v>6.5</v>
      </c>
      <c r="J37" s="34">
        <f t="shared" si="53"/>
        <v>2.5</v>
      </c>
      <c r="K37" s="8">
        <v>4.4000000000000004</v>
      </c>
      <c r="L37" s="34">
        <f t="shared" si="47"/>
        <v>0.7</v>
      </c>
      <c r="M37" s="8">
        <v>1.9</v>
      </c>
      <c r="T37" s="8">
        <v>0.2</v>
      </c>
      <c r="U37" s="8">
        <v>10.7</v>
      </c>
      <c r="V37" s="8">
        <v>2.5</v>
      </c>
      <c r="W37" s="8">
        <v>0.7</v>
      </c>
    </row>
    <row r="38" spans="2:24" s="2" customFormat="1" x14ac:dyDescent="0.2">
      <c r="B38" s="2" t="s">
        <v>86</v>
      </c>
      <c r="C38" s="2">
        <v>71.7</v>
      </c>
      <c r="D38" s="27"/>
      <c r="E38" s="2">
        <v>66.400000000000006</v>
      </c>
      <c r="F38" s="33">
        <f t="shared" ref="F38:F39" si="54">T38</f>
        <v>81.2</v>
      </c>
      <c r="G38" s="32">
        <v>83.2</v>
      </c>
      <c r="H38" s="33">
        <f t="shared" ref="H38:H39" si="55">U38</f>
        <v>106.3</v>
      </c>
      <c r="I38" s="32">
        <v>125.5</v>
      </c>
      <c r="J38" s="33">
        <f t="shared" ref="J38:J39" si="56">V38</f>
        <v>134.1</v>
      </c>
      <c r="K38" s="32">
        <v>131.1</v>
      </c>
      <c r="L38" s="33">
        <f>W38</f>
        <v>157.4</v>
      </c>
      <c r="M38" s="32">
        <v>213.4</v>
      </c>
      <c r="N38" s="54"/>
      <c r="P38" s="27"/>
      <c r="T38" s="32">
        <v>81.2</v>
      </c>
      <c r="U38" s="32">
        <v>106.3</v>
      </c>
      <c r="V38" s="32">
        <v>134.1</v>
      </c>
      <c r="W38" s="32">
        <v>157.4</v>
      </c>
      <c r="X38" s="54"/>
    </row>
    <row r="39" spans="2:24" s="2" customFormat="1" x14ac:dyDescent="0.2">
      <c r="B39" s="2" t="s">
        <v>94</v>
      </c>
      <c r="C39" s="2">
        <v>0.6</v>
      </c>
      <c r="D39" s="27"/>
      <c r="E39" s="2">
        <v>0.3</v>
      </c>
      <c r="F39" s="33">
        <f t="shared" si="54"/>
        <v>0.9</v>
      </c>
      <c r="G39" s="32">
        <v>0.9</v>
      </c>
      <c r="H39" s="33">
        <f t="shared" si="55"/>
        <v>1</v>
      </c>
      <c r="I39" s="32">
        <v>0.4</v>
      </c>
      <c r="J39" s="33">
        <f t="shared" si="56"/>
        <v>1.7</v>
      </c>
      <c r="K39" s="32">
        <v>0.6</v>
      </c>
      <c r="L39" s="33">
        <f>W39</f>
        <v>0.7</v>
      </c>
      <c r="M39" s="32">
        <v>1.2</v>
      </c>
      <c r="N39" s="54"/>
      <c r="P39" s="27"/>
      <c r="T39" s="32">
        <v>0.9</v>
      </c>
      <c r="U39" s="32">
        <v>1</v>
      </c>
      <c r="V39" s="32">
        <v>1.7</v>
      </c>
      <c r="W39" s="32">
        <v>0.7</v>
      </c>
      <c r="X39" s="54"/>
    </row>
    <row r="40" spans="2:24" x14ac:dyDescent="0.2">
      <c r="B40" s="1" t="s">
        <v>87</v>
      </c>
      <c r="C40" s="8">
        <f>SUM(C35:C39)+C34</f>
        <v>1364.8</v>
      </c>
      <c r="E40" s="8">
        <f>SUM(E35:E39)+E34</f>
        <v>1480.3000000000002</v>
      </c>
      <c r="F40" s="34">
        <f>SUM(F35:F39)+F34</f>
        <v>1543.1000000000004</v>
      </c>
      <c r="G40" s="8">
        <f>SUM(G35:G39)+G34</f>
        <v>1743.5000000000002</v>
      </c>
      <c r="H40" s="34">
        <f>SUM(H35:H39)+H34</f>
        <v>1937.8</v>
      </c>
      <c r="I40" s="8">
        <f>SUM(I35:I39)+I34</f>
        <v>1882.1999999999998</v>
      </c>
      <c r="J40" s="34">
        <f>SUM(J35:J39)+J34</f>
        <v>1877.9</v>
      </c>
      <c r="K40" s="8">
        <f>SUM(K35:K39)+K34</f>
        <v>2013.2000000000003</v>
      </c>
      <c r="L40" s="34">
        <f>SUM(L35:L39)+L34</f>
        <v>2197.0000000000005</v>
      </c>
      <c r="M40" s="8">
        <f>SUM(M35:M39)+M34</f>
        <v>2741.3</v>
      </c>
      <c r="T40" s="8">
        <f>SUM(T35:T39)+T34</f>
        <v>1543.1000000000004</v>
      </c>
      <c r="U40" s="8">
        <f>SUM(U35:U39)+U34</f>
        <v>1937.8</v>
      </c>
      <c r="V40" s="8">
        <f>SUM(V35:V39)+V34</f>
        <v>1877.9</v>
      </c>
      <c r="W40" s="8">
        <f>SUM(W35:W39)+W34</f>
        <v>2197.0000000000005</v>
      </c>
    </row>
    <row r="41" spans="2:24" x14ac:dyDescent="0.2">
      <c r="G41" s="8"/>
      <c r="H41" s="34"/>
      <c r="I41" s="8"/>
      <c r="L41" s="34"/>
      <c r="M41" s="8"/>
      <c r="T41" s="8"/>
      <c r="U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/>
      <c r="E42" s="32">
        <v>3</v>
      </c>
      <c r="F42" s="33">
        <f t="shared" ref="F42" si="57">T42</f>
        <v>9.1999999999999993</v>
      </c>
      <c r="G42" s="32">
        <v>1.7</v>
      </c>
      <c r="H42" s="33">
        <f>U42</f>
        <v>75.099999999999994</v>
      </c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54"/>
      <c r="P42" s="27"/>
      <c r="T42" s="32">
        <v>9.1999999999999993</v>
      </c>
      <c r="U42" s="32">
        <v>75.099999999999994</v>
      </c>
      <c r="V42" s="32">
        <v>3</v>
      </c>
      <c r="W42" s="32">
        <v>72.5</v>
      </c>
      <c r="X42" s="54"/>
    </row>
    <row r="43" spans="2:24" x14ac:dyDescent="0.2">
      <c r="B43" s="1" t="s">
        <v>89</v>
      </c>
      <c r="C43" s="8">
        <v>0</v>
      </c>
      <c r="D43" s="34"/>
      <c r="E43" s="8">
        <v>0</v>
      </c>
      <c r="F43" s="34">
        <f>T43</f>
        <v>0</v>
      </c>
      <c r="G43" s="8">
        <v>12.3</v>
      </c>
      <c r="H43" s="34">
        <f>U43</f>
        <v>13</v>
      </c>
      <c r="I43" s="8">
        <v>13</v>
      </c>
      <c r="J43" s="34">
        <f>V43</f>
        <v>13.3</v>
      </c>
      <c r="K43" s="8">
        <v>3</v>
      </c>
      <c r="L43" s="34">
        <f t="shared" ref="L43:L47" si="58">W43</f>
        <v>15.5</v>
      </c>
      <c r="M43" s="8">
        <v>78.8</v>
      </c>
      <c r="T43" s="8">
        <v>0</v>
      </c>
      <c r="U43" s="8">
        <v>13</v>
      </c>
      <c r="V43" s="8">
        <v>13.3</v>
      </c>
      <c r="W43" s="8">
        <v>15.5</v>
      </c>
    </row>
    <row r="44" spans="2:24" x14ac:dyDescent="0.2">
      <c r="B44" s="1" t="s">
        <v>90</v>
      </c>
      <c r="C44" s="8">
        <v>0</v>
      </c>
      <c r="D44" s="34"/>
      <c r="E44" s="8">
        <v>0</v>
      </c>
      <c r="F44" s="34">
        <f t="shared" ref="F44:F47" si="59">T44</f>
        <v>0</v>
      </c>
      <c r="G44" s="8">
        <v>0</v>
      </c>
      <c r="H44" s="34">
        <f t="shared" ref="H44:H47" si="60">U44</f>
        <v>0</v>
      </c>
      <c r="I44" s="8">
        <v>0</v>
      </c>
      <c r="J44" s="34">
        <f t="shared" ref="J44:J47" si="61">V44</f>
        <v>0</v>
      </c>
      <c r="K44" s="8">
        <v>14.2</v>
      </c>
      <c r="L44" s="34">
        <f t="shared" si="58"/>
        <v>0</v>
      </c>
      <c r="M44" s="8">
        <v>19.399999999999999</v>
      </c>
      <c r="T44" s="8">
        <v>0</v>
      </c>
      <c r="U44" s="8">
        <v>0</v>
      </c>
      <c r="V44" s="8">
        <v>0</v>
      </c>
      <c r="W44" s="8">
        <v>0</v>
      </c>
    </row>
    <row r="45" spans="2:24" x14ac:dyDescent="0.2">
      <c r="B45" s="1" t="s">
        <v>91</v>
      </c>
      <c r="C45" s="8">
        <v>125.7</v>
      </c>
      <c r="D45" s="34"/>
      <c r="E45" s="8">
        <v>154.5</v>
      </c>
      <c r="F45" s="34">
        <f t="shared" si="59"/>
        <v>164.8</v>
      </c>
      <c r="G45" s="8">
        <v>157.9</v>
      </c>
      <c r="H45" s="34">
        <f t="shared" si="60"/>
        <v>186.7</v>
      </c>
      <c r="I45" s="8">
        <v>158.69999999999999</v>
      </c>
      <c r="J45" s="34">
        <f t="shared" si="61"/>
        <v>186.7</v>
      </c>
      <c r="K45" s="8">
        <v>22</v>
      </c>
      <c r="L45" s="34">
        <f t="shared" si="58"/>
        <v>242.7</v>
      </c>
      <c r="M45" s="8">
        <v>26.5</v>
      </c>
      <c r="T45" s="8">
        <v>164.8</v>
      </c>
      <c r="U45" s="8">
        <v>186.7</v>
      </c>
      <c r="V45" s="8">
        <v>186.7</v>
      </c>
      <c r="W45" s="8">
        <v>242.7</v>
      </c>
    </row>
    <row r="46" spans="2:24" x14ac:dyDescent="0.2">
      <c r="B46" s="1" t="s">
        <v>92</v>
      </c>
      <c r="C46" s="8">
        <v>4.7</v>
      </c>
      <c r="D46" s="34"/>
      <c r="E46" s="8">
        <v>18.2</v>
      </c>
      <c r="F46" s="34">
        <f t="shared" si="59"/>
        <v>25.4</v>
      </c>
      <c r="G46" s="8">
        <v>20.5</v>
      </c>
      <c r="H46" s="34">
        <f t="shared" si="60"/>
        <v>28</v>
      </c>
      <c r="I46" s="8">
        <v>30.5</v>
      </c>
      <c r="J46" s="34">
        <f t="shared" si="61"/>
        <v>35.4</v>
      </c>
      <c r="K46" s="8">
        <v>13.8</v>
      </c>
      <c r="L46" s="34">
        <f t="shared" si="58"/>
        <v>20.7</v>
      </c>
      <c r="M46" s="8">
        <v>15.8</v>
      </c>
      <c r="T46" s="8">
        <v>25.4</v>
      </c>
      <c r="U46" s="8">
        <v>28</v>
      </c>
      <c r="V46" s="8">
        <v>35.4</v>
      </c>
      <c r="W46" s="8">
        <v>20.7</v>
      </c>
    </row>
    <row r="47" spans="2:24" x14ac:dyDescent="0.2">
      <c r="B47" s="1" t="s">
        <v>82</v>
      </c>
      <c r="C47" s="8">
        <v>14.9</v>
      </c>
      <c r="D47" s="34"/>
      <c r="E47" s="8">
        <v>13.3</v>
      </c>
      <c r="F47" s="34">
        <f t="shared" si="59"/>
        <v>13.4</v>
      </c>
      <c r="G47" s="8">
        <v>13.4</v>
      </c>
      <c r="H47" s="34">
        <f t="shared" si="60"/>
        <v>9.4</v>
      </c>
      <c r="I47" s="8">
        <v>11.3</v>
      </c>
      <c r="J47" s="34">
        <f t="shared" si="61"/>
        <v>8.9</v>
      </c>
      <c r="K47" s="8">
        <v>0.2</v>
      </c>
      <c r="L47" s="34">
        <f t="shared" si="58"/>
        <v>11.6</v>
      </c>
      <c r="M47" s="8">
        <v>3.4</v>
      </c>
      <c r="T47" s="8">
        <v>13.4</v>
      </c>
      <c r="U47" s="8">
        <v>9.4</v>
      </c>
      <c r="V47" s="8">
        <v>8.9</v>
      </c>
      <c r="W47" s="8">
        <v>11.6</v>
      </c>
    </row>
    <row r="48" spans="2:24" s="2" customFormat="1" x14ac:dyDescent="0.2">
      <c r="B48" s="2" t="s">
        <v>94</v>
      </c>
      <c r="C48" s="32">
        <v>0.4</v>
      </c>
      <c r="D48" s="33"/>
      <c r="E48" s="32">
        <v>0.5</v>
      </c>
      <c r="F48" s="33">
        <f t="shared" ref="F48" si="62">T48</f>
        <v>0.3</v>
      </c>
      <c r="G48" s="32">
        <v>0.7</v>
      </c>
      <c r="H48" s="33">
        <f>U48</f>
        <v>1</v>
      </c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54"/>
      <c r="P48" s="27"/>
      <c r="T48" s="32">
        <v>0.3</v>
      </c>
      <c r="U48" s="32">
        <v>1</v>
      </c>
      <c r="V48" s="32">
        <v>0.7</v>
      </c>
      <c r="W48" s="32">
        <v>0.9</v>
      </c>
      <c r="X48" s="54"/>
    </row>
    <row r="49" spans="2:24" x14ac:dyDescent="0.2">
      <c r="B49" s="1" t="s">
        <v>100</v>
      </c>
      <c r="C49" s="8">
        <f>SUM(C42:C48)</f>
        <v>145.9</v>
      </c>
      <c r="D49" s="34"/>
      <c r="E49" s="8">
        <f>SUM(E42:E48)</f>
        <v>189.5</v>
      </c>
      <c r="F49" s="34">
        <f>SUM(F42:F48)</f>
        <v>213.10000000000002</v>
      </c>
      <c r="G49" s="8">
        <f>SUM(G42:G48)</f>
        <v>206.5</v>
      </c>
      <c r="H49" s="34">
        <f>SUM(H42:H48)</f>
        <v>313.19999999999993</v>
      </c>
      <c r="I49" s="8">
        <f>SUM(I42:I48)</f>
        <v>290.49999999999994</v>
      </c>
      <c r="J49" s="34">
        <f>SUM(J42:J48)</f>
        <v>248</v>
      </c>
      <c r="K49" s="8">
        <f>SUM(K42:K48)</f>
        <v>259.29999999999995</v>
      </c>
      <c r="L49" s="34">
        <f>SUM(L42:L48)</f>
        <v>363.9</v>
      </c>
      <c r="M49" s="8">
        <f>SUM(M42:M48)</f>
        <v>400.29999999999995</v>
      </c>
      <c r="T49" s="8">
        <f t="shared" ref="T49:W49" si="63">SUM(T42:T48)</f>
        <v>213.10000000000002</v>
      </c>
      <c r="U49" s="8">
        <f t="shared" si="63"/>
        <v>313.19999999999993</v>
      </c>
      <c r="V49" s="8">
        <f t="shared" si="63"/>
        <v>248</v>
      </c>
      <c r="W49" s="8">
        <f t="shared" si="63"/>
        <v>363.9</v>
      </c>
    </row>
    <row r="50" spans="2:24" s="2" customFormat="1" x14ac:dyDescent="0.2">
      <c r="B50" s="2" t="s">
        <v>88</v>
      </c>
      <c r="C50" s="32">
        <v>252.5</v>
      </c>
      <c r="D50" s="33"/>
      <c r="E50" s="32">
        <v>258</v>
      </c>
      <c r="F50" s="33">
        <f t="shared" ref="F50:F55" si="64">T50</f>
        <v>253.7</v>
      </c>
      <c r="G50" s="32">
        <v>334.9</v>
      </c>
      <c r="H50" s="33">
        <f>U50</f>
        <v>345</v>
      </c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54"/>
      <c r="P50" s="27"/>
      <c r="T50" s="32">
        <v>253.7</v>
      </c>
      <c r="U50" s="32">
        <v>345</v>
      </c>
      <c r="V50" s="32">
        <v>322.3</v>
      </c>
      <c r="W50" s="32">
        <v>287.60000000000002</v>
      </c>
      <c r="X50" s="54"/>
    </row>
    <row r="51" spans="2:24" x14ac:dyDescent="0.2">
      <c r="B51" s="1" t="s">
        <v>89</v>
      </c>
      <c r="C51" s="8">
        <v>0</v>
      </c>
      <c r="D51" s="34"/>
      <c r="E51" s="8">
        <v>0</v>
      </c>
      <c r="F51" s="34">
        <f t="shared" si="64"/>
        <v>0</v>
      </c>
      <c r="G51" s="8">
        <v>44.7</v>
      </c>
      <c r="H51" s="34">
        <f t="shared" ref="H51:H55" si="65">U51</f>
        <v>48.5</v>
      </c>
      <c r="I51" s="8">
        <v>51.4</v>
      </c>
      <c r="J51" s="34">
        <f t="shared" ref="J51:J55" si="66">V51</f>
        <v>51.7</v>
      </c>
      <c r="K51" s="8">
        <v>53.4</v>
      </c>
      <c r="L51" s="34">
        <f t="shared" ref="L51:L55" si="67">W51</f>
        <v>56.6</v>
      </c>
      <c r="M51" s="8">
        <v>69.2</v>
      </c>
      <c r="T51" s="8">
        <v>0</v>
      </c>
      <c r="U51" s="8">
        <v>48.5</v>
      </c>
      <c r="V51" s="8">
        <v>51.7</v>
      </c>
      <c r="W51" s="8">
        <v>56.6</v>
      </c>
    </row>
    <row r="52" spans="2:24" x14ac:dyDescent="0.2">
      <c r="B52" s="1" t="s">
        <v>90</v>
      </c>
      <c r="C52" s="8">
        <v>66.8</v>
      </c>
      <c r="D52" s="34"/>
      <c r="E52" s="8">
        <v>20.7</v>
      </c>
      <c r="F52" s="34">
        <f t="shared" si="64"/>
        <v>39.200000000000003</v>
      </c>
      <c r="G52" s="8">
        <v>27.6</v>
      </c>
      <c r="H52" s="34">
        <f t="shared" si="65"/>
        <v>10.6</v>
      </c>
      <c r="I52" s="8">
        <v>45</v>
      </c>
      <c r="J52" s="34">
        <f t="shared" si="66"/>
        <v>22.5</v>
      </c>
      <c r="K52" s="8">
        <v>10.1</v>
      </c>
      <c r="L52" s="34">
        <f t="shared" si="67"/>
        <v>0.6</v>
      </c>
      <c r="M52" s="8">
        <v>0.7</v>
      </c>
      <c r="T52" s="8">
        <v>39.200000000000003</v>
      </c>
      <c r="U52" s="8">
        <v>10.6</v>
      </c>
      <c r="V52" s="8">
        <v>22.5</v>
      </c>
      <c r="W52" s="8">
        <v>0.6</v>
      </c>
    </row>
    <row r="53" spans="2:24" x14ac:dyDescent="0.2">
      <c r="B53" s="1" t="s">
        <v>91</v>
      </c>
      <c r="C53" s="8">
        <v>11.4</v>
      </c>
      <c r="D53" s="34"/>
      <c r="E53" s="8">
        <v>9.6999999999999993</v>
      </c>
      <c r="F53" s="34">
        <f t="shared" si="64"/>
        <v>11.6</v>
      </c>
      <c r="G53" s="8">
        <v>13.3</v>
      </c>
      <c r="H53" s="34">
        <f t="shared" si="65"/>
        <v>13.3</v>
      </c>
      <c r="I53" s="8">
        <v>16.3</v>
      </c>
      <c r="J53" s="34">
        <f t="shared" si="66"/>
        <v>16.8</v>
      </c>
      <c r="K53" s="8">
        <v>15.2</v>
      </c>
      <c r="L53" s="34">
        <f t="shared" si="67"/>
        <v>19</v>
      </c>
      <c r="M53" s="8">
        <v>21.4</v>
      </c>
      <c r="T53" s="8">
        <v>11.6</v>
      </c>
      <c r="U53" s="8">
        <v>13.3</v>
      </c>
      <c r="V53" s="8">
        <v>16.8</v>
      </c>
      <c r="W53" s="8">
        <v>19</v>
      </c>
    </row>
    <row r="54" spans="2:24" x14ac:dyDescent="0.2">
      <c r="B54" s="1" t="s">
        <v>92</v>
      </c>
      <c r="C54" s="8">
        <v>16.899999999999999</v>
      </c>
      <c r="D54" s="34"/>
      <c r="E54" s="8">
        <v>4.7</v>
      </c>
      <c r="F54" s="34">
        <f t="shared" si="64"/>
        <v>10.9</v>
      </c>
      <c r="G54" s="8">
        <v>7.9</v>
      </c>
      <c r="H54" s="34">
        <f t="shared" si="65"/>
        <v>21.6</v>
      </c>
      <c r="I54" s="8">
        <v>14.3</v>
      </c>
      <c r="J54" s="34">
        <f t="shared" si="66"/>
        <v>8.4</v>
      </c>
      <c r="K54" s="8">
        <v>6.3</v>
      </c>
      <c r="L54" s="34">
        <f t="shared" si="67"/>
        <v>7.7</v>
      </c>
      <c r="M54" s="8">
        <v>7.9</v>
      </c>
      <c r="T54" s="8">
        <v>10.9</v>
      </c>
      <c r="U54" s="8">
        <v>21.6</v>
      </c>
      <c r="V54" s="8">
        <v>8.4</v>
      </c>
      <c r="W54" s="8">
        <v>7.7</v>
      </c>
    </row>
    <row r="55" spans="2:24" x14ac:dyDescent="0.2">
      <c r="B55" s="1" t="s">
        <v>82</v>
      </c>
      <c r="C55" s="8">
        <v>96</v>
      </c>
      <c r="D55" s="34"/>
      <c r="E55" s="8">
        <v>70.400000000000006</v>
      </c>
      <c r="F55" s="34">
        <f t="shared" si="64"/>
        <v>33.200000000000003</v>
      </c>
      <c r="G55" s="8">
        <v>41.1</v>
      </c>
      <c r="H55" s="34">
        <f t="shared" si="65"/>
        <v>48.7</v>
      </c>
      <c r="I55" s="8">
        <v>41.7</v>
      </c>
      <c r="J55" s="34">
        <f t="shared" si="66"/>
        <v>40.6</v>
      </c>
      <c r="K55" s="8">
        <v>51.1</v>
      </c>
      <c r="L55" s="34">
        <f t="shared" si="67"/>
        <v>58.5</v>
      </c>
      <c r="M55" s="8">
        <v>69.2</v>
      </c>
      <c r="T55" s="8">
        <v>33.200000000000003</v>
      </c>
      <c r="U55" s="8">
        <v>48.7</v>
      </c>
      <c r="V55" s="8">
        <v>40.6</v>
      </c>
      <c r="W55" s="8">
        <v>58.5</v>
      </c>
    </row>
    <row r="56" spans="2:24" x14ac:dyDescent="0.2">
      <c r="B56" s="1" t="s">
        <v>93</v>
      </c>
      <c r="C56" s="8">
        <f>C49+SUM(C50:C55)</f>
        <v>589.5</v>
      </c>
      <c r="D56" s="34"/>
      <c r="E56" s="8">
        <f>E49+SUM(E50:E55)</f>
        <v>553</v>
      </c>
      <c r="F56" s="34">
        <f>F49+SUM(F50:F55)</f>
        <v>561.70000000000005</v>
      </c>
      <c r="G56" s="8">
        <f>G49+SUM(G50:G55)</f>
        <v>676</v>
      </c>
      <c r="H56" s="34">
        <f>H49+SUM(H50:H55)</f>
        <v>800.9</v>
      </c>
      <c r="I56" s="8">
        <f>I49+SUM(I50:I55)</f>
        <v>759.19999999999993</v>
      </c>
      <c r="J56" s="34">
        <f>J49+SUM(J50:J55)</f>
        <v>710.3</v>
      </c>
      <c r="K56" s="8">
        <f>K49+SUM(K50:K55)</f>
        <v>736.09999999999991</v>
      </c>
      <c r="L56" s="34">
        <f>L49+SUM(L50:L55)</f>
        <v>793.90000000000009</v>
      </c>
      <c r="M56" s="8">
        <f>M49+SUM(M50:M55)</f>
        <v>1114.3000000000002</v>
      </c>
      <c r="T56" s="8">
        <f>T49+SUM(T50:T55)</f>
        <v>561.70000000000005</v>
      </c>
      <c r="U56" s="8">
        <f>U49+SUM(U50:U55)</f>
        <v>800.9</v>
      </c>
      <c r="V56" s="8">
        <f>V49+SUM(V50:V55)</f>
        <v>710.3</v>
      </c>
      <c r="W56" s="8">
        <f>W49+SUM(W50:W55)</f>
        <v>793.90000000000009</v>
      </c>
    </row>
    <row r="57" spans="2:24" x14ac:dyDescent="0.2">
      <c r="M57" s="8"/>
      <c r="T57" s="8"/>
      <c r="U57" s="8"/>
    </row>
    <row r="58" spans="2:24" s="8" customFormat="1" x14ac:dyDescent="0.2">
      <c r="B58" s="8" t="s">
        <v>95</v>
      </c>
      <c r="C58" s="8">
        <v>775.3</v>
      </c>
      <c r="D58" s="34"/>
      <c r="E58" s="8">
        <v>927.3</v>
      </c>
      <c r="F58" s="34">
        <f>T58</f>
        <v>981.4</v>
      </c>
      <c r="G58" s="8">
        <v>1067.5</v>
      </c>
      <c r="H58" s="34">
        <f>U58</f>
        <v>1136.9000000000001</v>
      </c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49"/>
      <c r="P58" s="34"/>
      <c r="T58" s="8">
        <v>981.4</v>
      </c>
      <c r="U58" s="8">
        <v>1136.9000000000001</v>
      </c>
      <c r="V58" s="8">
        <v>1167.5999999999999</v>
      </c>
      <c r="W58" s="8">
        <v>1403.1</v>
      </c>
      <c r="X58" s="49"/>
    </row>
    <row r="59" spans="2:24" x14ac:dyDescent="0.2">
      <c r="B59" s="1" t="s">
        <v>96</v>
      </c>
      <c r="C59" s="8">
        <f>C58+C56</f>
        <v>1364.8</v>
      </c>
      <c r="E59" s="8">
        <f>E58+E56</f>
        <v>1480.3</v>
      </c>
      <c r="F59" s="34">
        <f>F58+F56</f>
        <v>1543.1</v>
      </c>
      <c r="G59" s="8">
        <f>G58+G56</f>
        <v>1743.5</v>
      </c>
      <c r="H59" s="34">
        <f>H58+H56</f>
        <v>1937.8000000000002</v>
      </c>
      <c r="I59" s="8">
        <f>I58+I56</f>
        <v>1882.1999999999998</v>
      </c>
      <c r="J59" s="34">
        <f>J58+J56</f>
        <v>1877.8999999999999</v>
      </c>
      <c r="K59" s="8">
        <f>K58+K56</f>
        <v>2013.1999999999998</v>
      </c>
      <c r="L59" s="34">
        <f>L58+L56</f>
        <v>2197</v>
      </c>
      <c r="M59" s="8">
        <f>M58+M56</f>
        <v>2741.3</v>
      </c>
      <c r="T59" s="8">
        <f>T58+T56</f>
        <v>1543.1</v>
      </c>
      <c r="U59" s="8">
        <f>U58+U56</f>
        <v>1937.8000000000002</v>
      </c>
      <c r="V59" s="8">
        <f>V58+V56</f>
        <v>1877.8999999999999</v>
      </c>
      <c r="W59" s="8">
        <f>W58+W56</f>
        <v>2197</v>
      </c>
    </row>
    <row r="60" spans="2:24" x14ac:dyDescent="0.2">
      <c r="T60" s="8"/>
      <c r="U60" s="8"/>
    </row>
    <row r="61" spans="2:24" x14ac:dyDescent="0.2">
      <c r="B61" s="1" t="s">
        <v>97</v>
      </c>
      <c r="C61" s="8">
        <f>C40-C56</f>
        <v>775.3</v>
      </c>
      <c r="E61" s="8">
        <f>E40-E56</f>
        <v>927.30000000000018</v>
      </c>
      <c r="F61" s="34">
        <f>F40-F56</f>
        <v>981.40000000000032</v>
      </c>
      <c r="G61" s="8">
        <f>G40-G56</f>
        <v>1067.5000000000002</v>
      </c>
      <c r="H61" s="34">
        <f>H40-H56</f>
        <v>1136.9000000000001</v>
      </c>
      <c r="I61" s="8">
        <f>I40-I56</f>
        <v>1123</v>
      </c>
      <c r="J61" s="34">
        <f>J40-J56</f>
        <v>1167.6000000000001</v>
      </c>
      <c r="K61" s="8">
        <f>K40-K56</f>
        <v>1277.1000000000004</v>
      </c>
      <c r="L61" s="34">
        <f>L40-L56</f>
        <v>1403.1000000000004</v>
      </c>
      <c r="M61" s="8">
        <f>M40-M56</f>
        <v>1627</v>
      </c>
      <c r="T61" s="8">
        <f t="shared" ref="T61:U61" si="68">T40-T56</f>
        <v>981.40000000000032</v>
      </c>
      <c r="U61" s="8">
        <f t="shared" ref="U61:V61" si="69">U40-U56</f>
        <v>1136.9000000000001</v>
      </c>
      <c r="V61" s="8">
        <f t="shared" ref="V61:W61" si="70">V40-V56</f>
        <v>1167.6000000000001</v>
      </c>
      <c r="W61" s="8">
        <f t="shared" si="70"/>
        <v>1403.1000000000004</v>
      </c>
    </row>
    <row r="62" spans="2:24" x14ac:dyDescent="0.2">
      <c r="B62" s="1" t="s">
        <v>98</v>
      </c>
      <c r="C62" s="1">
        <f>C61/C16</f>
        <v>2.0444631793064798</v>
      </c>
      <c r="E62" s="1">
        <f>E61/E16</f>
        <v>2.4464198115545486</v>
      </c>
      <c r="F62" s="34">
        <f>F61/F16</f>
        <v>2.588354874319402</v>
      </c>
      <c r="G62" s="1">
        <f>G61/G16</f>
        <v>2.815622833165575</v>
      </c>
      <c r="H62" s="34">
        <f>H61/H16</f>
        <v>2.9990490331802162</v>
      </c>
      <c r="I62" s="1">
        <f>I61/I16</f>
        <v>2.9623377739884473</v>
      </c>
      <c r="J62" s="34">
        <f>J61/J16</f>
        <v>3.0831792975970429</v>
      </c>
      <c r="K62" s="1">
        <f>K61/K16</f>
        <v>3.368768135056714</v>
      </c>
      <c r="L62" s="34">
        <f>L61/L16</f>
        <v>3.7050435701082662</v>
      </c>
      <c r="M62" s="1">
        <f>M61/M16</f>
        <v>4.3019566367001589</v>
      </c>
      <c r="T62" s="1">
        <f t="shared" ref="T62:U62" si="71">T61/T16</f>
        <v>2.588354874319402</v>
      </c>
      <c r="U62" s="1">
        <f t="shared" ref="U62:V62" si="72">U61/U16</f>
        <v>2.9990490331802162</v>
      </c>
      <c r="V62" s="1">
        <f t="shared" ref="V62:W62" si="73">V61/V16</f>
        <v>3.0791139240506333</v>
      </c>
      <c r="W62" s="1">
        <f t="shared" si="73"/>
        <v>3.7050435701082662</v>
      </c>
    </row>
    <row r="64" spans="2:24" x14ac:dyDescent="0.2">
      <c r="B64" s="1" t="s">
        <v>7</v>
      </c>
      <c r="C64" s="8">
        <f>C38+C39+C30</f>
        <v>75.7</v>
      </c>
      <c r="E64" s="8">
        <f>E38+E39+E30</f>
        <v>70.600000000000009</v>
      </c>
      <c r="F64" s="34">
        <f>F38+F39+F30</f>
        <v>86.000000000000014</v>
      </c>
      <c r="G64" s="8">
        <f>G38+G39+G30</f>
        <v>89.600000000000009</v>
      </c>
      <c r="H64" s="34">
        <f>H38+H39+H30</f>
        <v>112.1</v>
      </c>
      <c r="I64" s="8">
        <f>I38+I39+I30</f>
        <v>130.70000000000002</v>
      </c>
      <c r="J64" s="34">
        <f>J38+J39+J30</f>
        <v>145.1</v>
      </c>
      <c r="K64" s="8">
        <f>K38+K39+K30</f>
        <v>141.6</v>
      </c>
      <c r="L64" s="34">
        <f>L38+L39+L30</f>
        <v>166.29999999999998</v>
      </c>
      <c r="M64" s="8">
        <f>M38+M39+M30</f>
        <v>234.4</v>
      </c>
      <c r="T64" s="8">
        <f t="shared" ref="T64:U64" si="74">T38+T39+T30</f>
        <v>86.000000000000014</v>
      </c>
      <c r="U64" s="8">
        <f t="shared" ref="U64:V64" si="75">U38+U39+U30</f>
        <v>112.1</v>
      </c>
      <c r="V64" s="8">
        <f>V38+V39+V30</f>
        <v>145.1</v>
      </c>
      <c r="W64" s="8">
        <f>W38+W39+W30</f>
        <v>166.29999999999998</v>
      </c>
    </row>
    <row r="65" spans="1:34" x14ac:dyDescent="0.2">
      <c r="B65" s="1" t="s">
        <v>8</v>
      </c>
      <c r="C65" s="8">
        <f>C50+C42+C48</f>
        <v>253.1</v>
      </c>
      <c r="E65" s="8">
        <f>E50+E42+E48</f>
        <v>261.5</v>
      </c>
      <c r="F65" s="34">
        <f>F50+F42+F48</f>
        <v>263.2</v>
      </c>
      <c r="G65" s="8">
        <f>G50+G42+G48</f>
        <v>337.29999999999995</v>
      </c>
      <c r="H65" s="34">
        <f>H50+H42+H48</f>
        <v>421.1</v>
      </c>
      <c r="I65" s="8">
        <f>I50+I42+I48</f>
        <v>377</v>
      </c>
      <c r="J65" s="34">
        <f>J50+J42+J48</f>
        <v>326</v>
      </c>
      <c r="K65" s="8">
        <f>K50+K42+K48</f>
        <v>546.79999999999995</v>
      </c>
      <c r="L65" s="34">
        <f>L50+L42+L48</f>
        <v>361</v>
      </c>
      <c r="M65" s="8">
        <f>M50+M42+M48</f>
        <v>802</v>
      </c>
      <c r="T65" s="8">
        <f t="shared" ref="T65:U65" si="76">T50+T42+T48</f>
        <v>263.2</v>
      </c>
      <c r="U65" s="8">
        <f t="shared" ref="U65:V65" si="77">U50+U42+U48</f>
        <v>421.1</v>
      </c>
      <c r="V65" s="8">
        <f>V50+V42+V48</f>
        <v>326</v>
      </c>
      <c r="W65" s="8">
        <f>W50+W42+W48</f>
        <v>361</v>
      </c>
    </row>
    <row r="66" spans="1:34" x14ac:dyDescent="0.2">
      <c r="B66" s="1" t="s">
        <v>9</v>
      </c>
      <c r="C66" s="8">
        <f>C64-C65</f>
        <v>-177.39999999999998</v>
      </c>
      <c r="E66" s="8">
        <f>E64-E65</f>
        <v>-190.89999999999998</v>
      </c>
      <c r="F66" s="34">
        <f>F64-F65</f>
        <v>-177.2</v>
      </c>
      <c r="G66" s="8">
        <f>G64-G65</f>
        <v>-247.69999999999993</v>
      </c>
      <c r="H66" s="34">
        <f>H64-H65</f>
        <v>-309</v>
      </c>
      <c r="I66" s="8">
        <f>I64-I65</f>
        <v>-246.29999999999998</v>
      </c>
      <c r="J66" s="34">
        <f>J64-J65</f>
        <v>-180.9</v>
      </c>
      <c r="K66" s="8">
        <f>K64-K65</f>
        <v>-405.19999999999993</v>
      </c>
      <c r="L66" s="34">
        <f>L64-L65</f>
        <v>-194.70000000000002</v>
      </c>
      <c r="M66" s="8">
        <f>M64-M65</f>
        <v>-567.6</v>
      </c>
      <c r="T66" s="8">
        <f t="shared" ref="T66" si="78">T64-T65</f>
        <v>-177.2</v>
      </c>
      <c r="U66" s="8">
        <f t="shared" ref="U66" si="79">U64-U65</f>
        <v>-309</v>
      </c>
      <c r="V66" s="8">
        <f>V64-V65</f>
        <v>-180.9</v>
      </c>
      <c r="W66" s="8">
        <f>W64-W65</f>
        <v>-194.70000000000002</v>
      </c>
    </row>
    <row r="68" spans="1:34" s="35" customFormat="1" x14ac:dyDescent="0.2">
      <c r="B68" s="35" t="s">
        <v>99</v>
      </c>
      <c r="C68" s="35">
        <v>10.8497</v>
      </c>
      <c r="D68" s="36"/>
      <c r="E68" s="35">
        <v>14.0044</v>
      </c>
      <c r="F68" s="36">
        <f>T68</f>
        <v>16.279199999999999</v>
      </c>
      <c r="G68" s="35">
        <v>19.282</v>
      </c>
      <c r="H68" s="36">
        <f>U68</f>
        <v>18.8504</v>
      </c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50"/>
      <c r="P68" s="36"/>
      <c r="T68" s="35">
        <v>16.279199999999999</v>
      </c>
      <c r="U68" s="35">
        <v>18.8504</v>
      </c>
      <c r="V68" s="35">
        <v>23.4651</v>
      </c>
      <c r="W68" s="35">
        <v>24.9636</v>
      </c>
      <c r="X68" s="50">
        <f>X15*X75</f>
        <v>24.650957703880664</v>
      </c>
      <c r="Y68" s="74">
        <f>Y15*Y75</f>
        <v>21.787658677332278</v>
      </c>
      <c r="Z68" s="74">
        <f t="shared" ref="Z68:AH68" si="80">Z15*Z75</f>
        <v>25.812505739535535</v>
      </c>
      <c r="AA68" s="74">
        <f t="shared" si="80"/>
        <v>30.532254568675903</v>
      </c>
      <c r="AB68" s="74">
        <f t="shared" si="80"/>
        <v>36.147767519188683</v>
      </c>
      <c r="AC68" s="74">
        <f t="shared" si="80"/>
        <v>42.753123480795495</v>
      </c>
      <c r="AD68" s="74">
        <f t="shared" si="80"/>
        <v>50.546006618114653</v>
      </c>
      <c r="AE68" s="74">
        <f t="shared" si="80"/>
        <v>59.74954975840194</v>
      </c>
      <c r="AF68" s="74">
        <f t="shared" si="80"/>
        <v>70.604915604232787</v>
      </c>
      <c r="AG68" s="74">
        <f t="shared" si="80"/>
        <v>83.414810329368407</v>
      </c>
      <c r="AH68" s="74">
        <f t="shared" si="80"/>
        <v>98.53171577356099</v>
      </c>
    </row>
    <row r="69" spans="1:34" x14ac:dyDescent="0.2">
      <c r="B69" s="1" t="s">
        <v>6</v>
      </c>
      <c r="C69" s="8">
        <f>C68*C16</f>
        <v>4114.4161925447006</v>
      </c>
      <c r="E69" s="8">
        <f>E68*E16</f>
        <v>5308.2794942492001</v>
      </c>
      <c r="F69" s="34">
        <f t="shared" ref="F69:H69" si="81">F68*F16</f>
        <v>6172.4174835960002</v>
      </c>
      <c r="G69" s="8">
        <f>G68*G16</f>
        <v>7310.4731065340002</v>
      </c>
      <c r="H69" s="34">
        <f t="shared" si="81"/>
        <v>7145.9384367832008</v>
      </c>
      <c r="I69" s="8">
        <f>I68*I16</f>
        <v>8761.9267890080991</v>
      </c>
      <c r="J69" s="34">
        <f t="shared" ref="J69:L69" si="82">J68*J16</f>
        <v>8886.2333699999999</v>
      </c>
      <c r="K69" s="8">
        <f>K68*K16</f>
        <v>10690.468360000001</v>
      </c>
      <c r="L69" s="34">
        <f t="shared" si="82"/>
        <v>9453.7153199999993</v>
      </c>
      <c r="M69" s="8">
        <f>M68*M16</f>
        <v>7734.19</v>
      </c>
      <c r="T69" s="8">
        <f t="shared" ref="T69:W69" si="83">T68*T16</f>
        <v>6172.4174835960002</v>
      </c>
      <c r="U69" s="8">
        <f t="shared" si="83"/>
        <v>7145.9384367832008</v>
      </c>
      <c r="V69" s="8">
        <f t="shared" si="83"/>
        <v>8897.9659199999987</v>
      </c>
      <c r="W69" s="8">
        <f t="shared" si="83"/>
        <v>9453.7153199999993</v>
      </c>
      <c r="Y69" s="75"/>
      <c r="Z69" s="75"/>
      <c r="AA69" s="75"/>
      <c r="AB69" s="75"/>
      <c r="AC69" s="75"/>
      <c r="AD69" s="75"/>
      <c r="AE69" s="75"/>
      <c r="AF69" s="75"/>
      <c r="AG69" s="75"/>
      <c r="AH69" s="75"/>
    </row>
    <row r="70" spans="1:34" x14ac:dyDescent="0.2">
      <c r="B70" s="1" t="s">
        <v>10</v>
      </c>
      <c r="C70" s="8">
        <f>C69-C66</f>
        <v>4291.8161925447002</v>
      </c>
      <c r="E70" s="8">
        <f>E69-E66</f>
        <v>5499.1794942491997</v>
      </c>
      <c r="F70" s="34">
        <f t="shared" ref="F70:H70" si="84">F69-F66</f>
        <v>6349.6174835960001</v>
      </c>
      <c r="G70" s="8">
        <f>G69-G66</f>
        <v>7558.173106534</v>
      </c>
      <c r="H70" s="34">
        <f t="shared" si="84"/>
        <v>7454.9384367832008</v>
      </c>
      <c r="I70" s="8">
        <f>I69-I66</f>
        <v>9008.2267890080984</v>
      </c>
      <c r="J70" s="34">
        <f t="shared" ref="J70:L70" si="85">J69-J66</f>
        <v>9067.1333699999996</v>
      </c>
      <c r="K70" s="8">
        <f>K69-K66</f>
        <v>11095.668360000001</v>
      </c>
      <c r="L70" s="34">
        <f t="shared" si="85"/>
        <v>9648.4153200000001</v>
      </c>
      <c r="M70" s="8">
        <f>M69-M66</f>
        <v>8301.7899999999991</v>
      </c>
      <c r="T70" s="8">
        <f t="shared" ref="T70:W70" si="86">T69-T66</f>
        <v>6349.6174835960001</v>
      </c>
      <c r="U70" s="8">
        <f t="shared" si="86"/>
        <v>7454.9384367832008</v>
      </c>
      <c r="V70" s="8">
        <f t="shared" si="86"/>
        <v>9078.8659199999984</v>
      </c>
      <c r="W70" s="8">
        <f t="shared" si="86"/>
        <v>9648.4153200000001</v>
      </c>
      <c r="Y70" s="75"/>
      <c r="Z70" s="75"/>
      <c r="AA70" s="75"/>
      <c r="AB70" s="75"/>
      <c r="AC70" s="75"/>
      <c r="AD70" s="75"/>
      <c r="AE70" s="75"/>
      <c r="AF70" s="75"/>
      <c r="AG70" s="75"/>
      <c r="AH70" s="75"/>
    </row>
    <row r="71" spans="1:34" x14ac:dyDescent="0.2">
      <c r="Y71" s="75"/>
      <c r="Z71" s="75"/>
      <c r="AA71" s="75"/>
      <c r="AB71" s="75"/>
      <c r="AC71" s="75"/>
      <c r="AD71" s="75"/>
      <c r="AE71" s="75"/>
      <c r="AF71" s="75"/>
      <c r="AG71" s="75"/>
      <c r="AH71" s="75"/>
    </row>
    <row r="72" spans="1:34" s="42" customFormat="1" x14ac:dyDescent="0.2">
      <c r="A72" s="45">
        <f>AVERAGE(C72:AX72)</f>
        <v>6.6187808416593716</v>
      </c>
      <c r="B72" s="42" t="s">
        <v>22</v>
      </c>
      <c r="C72" s="42">
        <f>C68/C62</f>
        <v>5.306869847213596</v>
      </c>
      <c r="D72" s="57"/>
      <c r="E72" s="42">
        <f>E68/E62</f>
        <v>5.7244467747753687</v>
      </c>
      <c r="F72" s="57">
        <f>F68/F62</f>
        <v>6.2894003297289567</v>
      </c>
      <c r="G72" s="42">
        <f>G68/G62</f>
        <v>6.8482183667765799</v>
      </c>
      <c r="H72" s="57">
        <f>H68/H62</f>
        <v>6.2854590876798309</v>
      </c>
      <c r="I72" s="42">
        <f>I68/I62</f>
        <v>7.8022500347356187</v>
      </c>
      <c r="J72" s="57">
        <f>J68/J62</f>
        <v>7.6106829136690637</v>
      </c>
      <c r="K72" s="42">
        <f>K68/K62</f>
        <v>8.3708937123169669</v>
      </c>
      <c r="L72" s="57">
        <f>L68/L62</f>
        <v>6.7377345306820589</v>
      </c>
      <c r="M72" s="42">
        <f>M68/M62</f>
        <v>4.7536508912108166</v>
      </c>
      <c r="N72" s="77"/>
      <c r="P72" s="57"/>
      <c r="T72" s="42">
        <f t="shared" ref="T72:U72" si="87">T68/T62</f>
        <v>6.2894003297289567</v>
      </c>
      <c r="U72" s="42">
        <f t="shared" ref="U72:V72" si="88">U68/U62</f>
        <v>6.2854590876798309</v>
      </c>
      <c r="V72" s="42">
        <f t="shared" si="88"/>
        <v>7.620731346351489</v>
      </c>
      <c r="W72" s="42">
        <f>W68/W62</f>
        <v>6.7377345306820589</v>
      </c>
      <c r="X72" s="77"/>
      <c r="Y72" s="76"/>
      <c r="Z72" s="76"/>
      <c r="AA72" s="76"/>
      <c r="AB72" s="76"/>
      <c r="AC72" s="76"/>
      <c r="AD72" s="76"/>
      <c r="AE72" s="76"/>
      <c r="AF72" s="76"/>
      <c r="AG72" s="76"/>
      <c r="AH72" s="76"/>
    </row>
    <row r="73" spans="1:34" s="42" customFormat="1" x14ac:dyDescent="0.2">
      <c r="A73" s="45">
        <f>AVERAGE(C73:AX73)</f>
        <v>5.9406650893726685</v>
      </c>
      <c r="B73" s="42" t="s">
        <v>23</v>
      </c>
      <c r="D73" s="57"/>
      <c r="F73" s="57">
        <f>F69/SUM(E4:F4)</f>
        <v>5.0973800343513087</v>
      </c>
      <c r="G73" s="42">
        <f>G69/SUM(F4:G4)</f>
        <v>5.7153257028645132</v>
      </c>
      <c r="H73" s="57">
        <f>H69/SUM(G4:H4)</f>
        <v>5.3391650005851767</v>
      </c>
      <c r="I73" s="42">
        <f>I69/SUM(H4:I4)</f>
        <v>6.7239097452291459</v>
      </c>
      <c r="J73" s="57">
        <f>J69/SUM(I4:J4)</f>
        <v>6.7411875056895765</v>
      </c>
      <c r="K73" s="42">
        <f>K69/SUM(J4:K4)</f>
        <v>7.4394351844119697</v>
      </c>
      <c r="L73" s="57">
        <f>L69/SUM(K4:L4)</f>
        <v>6.1979383203304268</v>
      </c>
      <c r="M73" s="42">
        <f>M69/SUM(L4:M4)</f>
        <v>4.6490682856455878</v>
      </c>
      <c r="N73" s="77"/>
      <c r="P73" s="57"/>
      <c r="T73" s="42">
        <f t="shared" ref="T73:U73" si="89">T69/T4</f>
        <v>5.0973800343513087</v>
      </c>
      <c r="U73" s="42">
        <f t="shared" ref="T73:V73" si="90">U69/U4</f>
        <v>5.3391650005851767</v>
      </c>
      <c r="V73" s="42">
        <f t="shared" si="90"/>
        <v>6.7500879380974039</v>
      </c>
      <c r="W73" s="42">
        <f>W69/W4</f>
        <v>6.1979383203304268</v>
      </c>
      <c r="X73" s="77"/>
      <c r="Y73" s="76"/>
      <c r="Z73" s="76"/>
      <c r="AA73" s="76"/>
      <c r="AB73" s="76"/>
      <c r="AC73" s="76"/>
      <c r="AD73" s="76"/>
      <c r="AE73" s="76"/>
      <c r="AF73" s="76"/>
      <c r="AG73" s="76"/>
      <c r="AH73" s="76"/>
    </row>
    <row r="74" spans="1:34" x14ac:dyDescent="0.2">
      <c r="A74" s="45">
        <f>AVERAGE(C74:AX74)</f>
        <v>6.1314989385166134</v>
      </c>
      <c r="B74" s="1" t="s">
        <v>24</v>
      </c>
      <c r="F74" s="57">
        <f t="shared" ref="F74:M74" si="91">F70/SUM(E4:F4)</f>
        <v>5.243717469317037</v>
      </c>
      <c r="G74" s="42">
        <f t="shared" si="91"/>
        <v>5.9089774892768343</v>
      </c>
      <c r="H74" s="57">
        <f t="shared" si="91"/>
        <v>5.5700376843867305</v>
      </c>
      <c r="I74" s="42">
        <f t="shared" si="91"/>
        <v>6.912920565580615</v>
      </c>
      <c r="J74" s="57">
        <f t="shared" si="91"/>
        <v>6.8784200955848878</v>
      </c>
      <c r="K74" s="42">
        <f t="shared" si="91"/>
        <v>7.7214115240083521</v>
      </c>
      <c r="L74" s="57">
        <f t="shared" si="91"/>
        <v>6.325585340588737</v>
      </c>
      <c r="M74" s="42">
        <f>M70/SUM(L4:M4)</f>
        <v>4.990256071170954</v>
      </c>
      <c r="T74" s="42">
        <f t="shared" ref="T74:U74" si="92">T70/T4</f>
        <v>5.243717469317037</v>
      </c>
      <c r="U74" s="42">
        <f t="shared" ref="U74:W74" si="93">U70/U4</f>
        <v>5.5700376843867305</v>
      </c>
      <c r="V74" s="42">
        <f t="shared" si="93"/>
        <v>6.8873205279927161</v>
      </c>
      <c r="W74" s="42">
        <f>W70/W4</f>
        <v>6.325585340588737</v>
      </c>
      <c r="Y74" s="75"/>
      <c r="Z74" s="75"/>
      <c r="AA74" s="75"/>
      <c r="AB74" s="75"/>
      <c r="AC74" s="75"/>
      <c r="AD74" s="75"/>
      <c r="AE74" s="75"/>
      <c r="AF74" s="75"/>
      <c r="AG74" s="75"/>
      <c r="AH74" s="75"/>
    </row>
    <row r="75" spans="1:34" s="42" customFormat="1" x14ac:dyDescent="0.2">
      <c r="A75" s="45">
        <f>AVERAGE(C75:AX75)</f>
        <v>34.251801218781559</v>
      </c>
      <c r="B75" s="42" t="s">
        <v>25</v>
      </c>
      <c r="D75" s="57"/>
      <c r="F75" s="57">
        <f>F68/SUM(E15:F15)</f>
        <v>36.346214681345977</v>
      </c>
      <c r="G75" s="42">
        <f>G68/(G15+F15)</f>
        <v>40.570085892338092</v>
      </c>
      <c r="H75" s="57">
        <f>H68/SUM(G15:H15)</f>
        <v>38.754627719660355</v>
      </c>
      <c r="I75" s="42">
        <f>I68/(I15+H15)</f>
        <v>49.58603989933718</v>
      </c>
      <c r="J75" s="57">
        <f>J68/(J15+I15)</f>
        <v>43.727166392237116</v>
      </c>
      <c r="K75" s="42">
        <f>K68/(K15+J15)</f>
        <v>40.829325611764631</v>
      </c>
      <c r="L75" s="57">
        <f>L68/(L15+K15)</f>
        <v>38.73571477005347</v>
      </c>
      <c r="M75" s="42">
        <f>M68/(M15+L15)</f>
        <v>34.65810517544427</v>
      </c>
      <c r="N75" s="77"/>
      <c r="P75" s="57"/>
      <c r="T75" s="42">
        <f t="shared" ref="T75:U75" si="94">T68/T15</f>
        <v>36.35110414367491</v>
      </c>
      <c r="U75" s="42">
        <f t="shared" ref="T75:V75" si="95">U68/U15</f>
        <v>38.752377639822122</v>
      </c>
      <c r="V75" s="42">
        <f t="shared" si="95"/>
        <v>43.767663157894724</v>
      </c>
      <c r="W75" s="42">
        <f>W68/W15</f>
        <v>38.713002948402945</v>
      </c>
      <c r="X75" s="77">
        <v>37</v>
      </c>
      <c r="Y75" s="76">
        <v>27</v>
      </c>
      <c r="Z75" s="76">
        <v>27</v>
      </c>
      <c r="AA75" s="76">
        <v>27</v>
      </c>
      <c r="AB75" s="76">
        <v>27</v>
      </c>
      <c r="AC75" s="76">
        <v>27</v>
      </c>
      <c r="AD75" s="76">
        <v>27</v>
      </c>
      <c r="AE75" s="76">
        <v>27</v>
      </c>
      <c r="AF75" s="76">
        <v>27</v>
      </c>
      <c r="AG75" s="76">
        <v>27</v>
      </c>
      <c r="AH75" s="76">
        <v>27</v>
      </c>
    </row>
    <row r="76" spans="1:34" x14ac:dyDescent="0.2">
      <c r="A76" s="45">
        <f>AVERAGE(C76:AX76)</f>
        <v>40.497637215588497</v>
      </c>
      <c r="B76" s="1" t="s">
        <v>26</v>
      </c>
      <c r="M76" s="37"/>
      <c r="T76" s="42">
        <f t="shared" ref="T76:U76" si="96">T70/T12</f>
        <v>37.394684826831565</v>
      </c>
      <c r="U76" s="42">
        <f t="shared" ref="U76:W76" si="97">U70/U12</f>
        <v>40.428082628976135</v>
      </c>
      <c r="V76" s="42">
        <f t="shared" si="97"/>
        <v>44.657481160846025</v>
      </c>
      <c r="W76" s="42">
        <f>W70/W12</f>
        <v>39.51030024570025</v>
      </c>
    </row>
    <row r="77" spans="1:34" x14ac:dyDescent="0.2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T77" s="37">
        <f t="shared" ref="T77:U77" si="98">T5/(T40-T49)</f>
        <v>0.16375939849624055</v>
      </c>
      <c r="U77" s="37">
        <f t="shared" ref="U77:V77" si="99">U5/(U40-U49)</f>
        <v>0.14366613320201896</v>
      </c>
      <c r="V77" s="37">
        <f t="shared" si="99"/>
        <v>0.14773912509969936</v>
      </c>
      <c r="W77" s="37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 X10 H34 H49 F34 F49 G75:H75" formula="1"/>
    <ignoredError sqref="D11:F14 E10 E15:F15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2023-03-27T12:11:49Z</dcterms:modified>
</cp:coreProperties>
</file>