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CAA9643-DFD6-4F23-B4BF-F8B471127D59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U28" i="2" l="1"/>
  <c r="AK23" i="2" l="1"/>
  <c r="AL23" i="2" s="1"/>
  <c r="AM23" i="2" s="1"/>
  <c r="AN23" i="2" s="1"/>
  <c r="AO23" i="2" s="1"/>
  <c r="AP23" i="2" s="1"/>
  <c r="AQ23" i="2" s="1"/>
  <c r="AR23" i="2" s="1"/>
  <c r="AJ23" i="2"/>
  <c r="C33" i="1" l="1"/>
  <c r="C10" i="1"/>
  <c r="C9" i="1"/>
  <c r="D11" i="1"/>
  <c r="D10" i="1"/>
  <c r="D9" i="1"/>
  <c r="AI23" i="2"/>
  <c r="Z23" i="2"/>
  <c r="Z18" i="2"/>
  <c r="AI18" i="2" s="1"/>
  <c r="Z17" i="2"/>
  <c r="AI17" i="2" s="1"/>
  <c r="Z6" i="2"/>
  <c r="Z13" i="2" s="1"/>
  <c r="R13" i="2"/>
  <c r="R12" i="2"/>
  <c r="R11" i="2"/>
  <c r="R14" i="2" s="1"/>
  <c r="R18" i="2"/>
  <c r="R17" i="2"/>
  <c r="R16" i="2"/>
  <c r="R20" i="2"/>
  <c r="R23" i="2"/>
  <c r="R6" i="2"/>
  <c r="R9" i="2"/>
  <c r="R10" i="2" s="1"/>
  <c r="R8" i="2"/>
  <c r="R7" i="2"/>
  <c r="R5" i="2"/>
  <c r="R4" i="2"/>
  <c r="AG83" i="2"/>
  <c r="AG82" i="2"/>
  <c r="AG81" i="2"/>
  <c r="AG77" i="2"/>
  <c r="AG78" i="2" s="1"/>
  <c r="AG74" i="2"/>
  <c r="AG73" i="2"/>
  <c r="AG72" i="2"/>
  <c r="AG70" i="2"/>
  <c r="AG69" i="2"/>
  <c r="AG67" i="2"/>
  <c r="AG58" i="2"/>
  <c r="AG64" i="2" s="1"/>
  <c r="AG51" i="2"/>
  <c r="AG48" i="2"/>
  <c r="AG45" i="2"/>
  <c r="AH32" i="2"/>
  <c r="AH31" i="2"/>
  <c r="AH30" i="2"/>
  <c r="AH29" i="2"/>
  <c r="AG32" i="2"/>
  <c r="AG31" i="2"/>
  <c r="AG30" i="2"/>
  <c r="AG29" i="2"/>
  <c r="AH26" i="2"/>
  <c r="AG22" i="2"/>
  <c r="AG19" i="2"/>
  <c r="AG21" i="2" s="1"/>
  <c r="AG15" i="2"/>
  <c r="AG14" i="2"/>
  <c r="AG9" i="2"/>
  <c r="AG10" i="2" s="1"/>
  <c r="AH69" i="2"/>
  <c r="AH70" i="2" s="1"/>
  <c r="AH80" i="2" s="1"/>
  <c r="AH74" i="2"/>
  <c r="AH73" i="2"/>
  <c r="AH72" i="2"/>
  <c r="AH77" i="2"/>
  <c r="AH81" i="2" s="1"/>
  <c r="AH76" i="2"/>
  <c r="X82" i="2"/>
  <c r="W82" i="2"/>
  <c r="V82" i="2"/>
  <c r="X81" i="2"/>
  <c r="W81" i="2"/>
  <c r="V81" i="2"/>
  <c r="Y82" i="2"/>
  <c r="Y81" i="2"/>
  <c r="V80" i="2"/>
  <c r="W27" i="2"/>
  <c r="V27" i="2"/>
  <c r="AH14" i="2"/>
  <c r="AH9" i="2"/>
  <c r="AH10" i="2" s="1"/>
  <c r="V23" i="2"/>
  <c r="V20" i="2"/>
  <c r="V18" i="2"/>
  <c r="V17" i="2"/>
  <c r="V16" i="2"/>
  <c r="Z16" i="2" s="1"/>
  <c r="AI16" i="2" s="1"/>
  <c r="V13" i="2"/>
  <c r="V12" i="2"/>
  <c r="V11" i="2"/>
  <c r="V8" i="2"/>
  <c r="V7" i="2"/>
  <c r="V9" i="2" s="1"/>
  <c r="V10" i="2" s="1"/>
  <c r="V29" i="2" s="1"/>
  <c r="V6" i="2"/>
  <c r="V5" i="2"/>
  <c r="V4" i="2"/>
  <c r="Y80" i="2"/>
  <c r="X80" i="2"/>
  <c r="Y77" i="2"/>
  <c r="Y78" i="2" s="1"/>
  <c r="X77" i="2"/>
  <c r="X78" i="2" s="1"/>
  <c r="V77" i="2"/>
  <c r="V78" i="2" s="1"/>
  <c r="V70" i="2"/>
  <c r="Y74" i="2"/>
  <c r="Y73" i="2"/>
  <c r="Y72" i="2"/>
  <c r="Y69" i="2"/>
  <c r="Y70" i="2" s="1"/>
  <c r="Y67" i="2"/>
  <c r="Y64" i="2"/>
  <c r="Y58" i="2"/>
  <c r="Y51" i="2"/>
  <c r="Y48" i="2"/>
  <c r="Y45" i="2"/>
  <c r="C7" i="1"/>
  <c r="D7" i="1"/>
  <c r="U27" i="2"/>
  <c r="U29" i="2"/>
  <c r="U14" i="2"/>
  <c r="U9" i="2"/>
  <c r="U10" i="2" s="1"/>
  <c r="U6" i="2"/>
  <c r="Y26" i="2" s="1"/>
  <c r="Y32" i="2"/>
  <c r="Y31" i="2"/>
  <c r="Y30" i="2"/>
  <c r="Y29" i="2"/>
  <c r="Y27" i="2"/>
  <c r="Y22" i="2"/>
  <c r="Y21" i="2"/>
  <c r="Y19" i="2"/>
  <c r="Y15" i="2"/>
  <c r="Y14" i="2"/>
  <c r="Y10" i="2"/>
  <c r="Y9" i="2"/>
  <c r="Y6" i="2"/>
  <c r="AJ17" i="2" l="1"/>
  <c r="AK17" i="2" s="1"/>
  <c r="AJ16" i="2"/>
  <c r="AJ18" i="2"/>
  <c r="AK18" i="2"/>
  <c r="AL18" i="2"/>
  <c r="R15" i="2"/>
  <c r="R19" i="2" s="1"/>
  <c r="R21" i="2" s="1"/>
  <c r="R22" i="2" s="1"/>
  <c r="AM18" i="2"/>
  <c r="AI13" i="2"/>
  <c r="Z9" i="2"/>
  <c r="AI9" i="2" s="1"/>
  <c r="Z26" i="2"/>
  <c r="Z11" i="2"/>
  <c r="AI11" i="2" s="1"/>
  <c r="Z12" i="2"/>
  <c r="AI12" i="2" s="1"/>
  <c r="AI6" i="2"/>
  <c r="AH78" i="2"/>
  <c r="AH82" i="2" s="1"/>
  <c r="AH15" i="2"/>
  <c r="AH19" i="2" s="1"/>
  <c r="AH21" i="2" s="1"/>
  <c r="AH22" i="2" s="1"/>
  <c r="AH83" i="2" s="1"/>
  <c r="V14" i="2"/>
  <c r="V15" i="2" s="1"/>
  <c r="U15" i="2"/>
  <c r="AH66" i="2"/>
  <c r="AH63" i="2"/>
  <c r="AH62" i="2"/>
  <c r="AH61" i="2"/>
  <c r="AH60" i="2"/>
  <c r="AH57" i="2"/>
  <c r="AH56" i="2"/>
  <c r="AH55" i="2"/>
  <c r="AH54" i="2"/>
  <c r="AH53" i="2"/>
  <c r="AH58" i="2" s="1"/>
  <c r="AH59" i="2"/>
  <c r="AH50" i="2"/>
  <c r="AH49" i="2"/>
  <c r="AH48" i="2"/>
  <c r="AH47" i="2"/>
  <c r="AH51" i="2" s="1"/>
  <c r="AH46" i="2"/>
  <c r="AH45" i="2"/>
  <c r="AH44" i="2"/>
  <c r="AH43" i="2"/>
  <c r="AH42" i="2"/>
  <c r="AH41" i="2"/>
  <c r="AH40" i="2"/>
  <c r="V48" i="2"/>
  <c r="X48" i="2"/>
  <c r="M74" i="2"/>
  <c r="L74" i="2"/>
  <c r="K74" i="2"/>
  <c r="J74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U74" i="2" s="1"/>
  <c r="T72" i="2"/>
  <c r="T74" i="2" s="1"/>
  <c r="S72" i="2"/>
  <c r="S74" i="2" s="1"/>
  <c r="R72" i="2"/>
  <c r="R74" i="2" s="1"/>
  <c r="Q72" i="2"/>
  <c r="Q74" i="2" s="1"/>
  <c r="P72" i="2"/>
  <c r="P74" i="2" s="1"/>
  <c r="O72" i="2"/>
  <c r="O74" i="2" s="1"/>
  <c r="N72" i="2"/>
  <c r="N74" i="2" s="1"/>
  <c r="M72" i="2"/>
  <c r="L72" i="2"/>
  <c r="K72" i="2"/>
  <c r="J72" i="2"/>
  <c r="I72" i="2"/>
  <c r="I74" i="2" s="1"/>
  <c r="H72" i="2"/>
  <c r="H74" i="2" s="1"/>
  <c r="G72" i="2"/>
  <c r="G74" i="2" s="1"/>
  <c r="F72" i="2"/>
  <c r="F74" i="2" s="1"/>
  <c r="E72" i="2"/>
  <c r="E74" i="2" s="1"/>
  <c r="D72" i="2"/>
  <c r="D74" i="2" s="1"/>
  <c r="C72" i="2"/>
  <c r="C74" i="2" s="1"/>
  <c r="X73" i="2"/>
  <c r="X72" i="2"/>
  <c r="X74" i="2" s="1"/>
  <c r="W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R70" i="2"/>
  <c r="Q70" i="2"/>
  <c r="P70" i="2"/>
  <c r="O70" i="2"/>
  <c r="M70" i="2"/>
  <c r="L70" i="2"/>
  <c r="K70" i="2"/>
  <c r="F70" i="2"/>
  <c r="E70" i="2"/>
  <c r="D70" i="2"/>
  <c r="C70" i="2"/>
  <c r="U69" i="2"/>
  <c r="U70" i="2" s="1"/>
  <c r="T69" i="2"/>
  <c r="T70" i="2" s="1"/>
  <c r="S69" i="2"/>
  <c r="S70" i="2" s="1"/>
  <c r="R69" i="2"/>
  <c r="Q69" i="2"/>
  <c r="P69" i="2"/>
  <c r="O69" i="2"/>
  <c r="N69" i="2"/>
  <c r="N70" i="2" s="1"/>
  <c r="M69" i="2"/>
  <c r="L69" i="2"/>
  <c r="K69" i="2"/>
  <c r="J69" i="2"/>
  <c r="J70" i="2" s="1"/>
  <c r="I69" i="2"/>
  <c r="I70" i="2" s="1"/>
  <c r="H69" i="2"/>
  <c r="H70" i="2" s="1"/>
  <c r="G69" i="2"/>
  <c r="G70" i="2" s="1"/>
  <c r="F69" i="2"/>
  <c r="E69" i="2"/>
  <c r="D69" i="2"/>
  <c r="C69" i="2"/>
  <c r="X58" i="2"/>
  <c r="X64" i="2" s="1"/>
  <c r="X67" i="2" s="1"/>
  <c r="V58" i="2"/>
  <c r="V64" i="2" s="1"/>
  <c r="V67" i="2" s="1"/>
  <c r="U58" i="2"/>
  <c r="U64" i="2" s="1"/>
  <c r="T58" i="2"/>
  <c r="T64" i="2" s="1"/>
  <c r="S58" i="2"/>
  <c r="S64" i="2" s="1"/>
  <c r="R58" i="2"/>
  <c r="R64" i="2" s="1"/>
  <c r="Q58" i="2"/>
  <c r="P58" i="2"/>
  <c r="O58" i="2"/>
  <c r="N58" i="2"/>
  <c r="M58" i="2"/>
  <c r="M64" i="2" s="1"/>
  <c r="L58" i="2"/>
  <c r="L64" i="2" s="1"/>
  <c r="K58" i="2"/>
  <c r="K64" i="2" s="1"/>
  <c r="J58" i="2"/>
  <c r="J64" i="2" s="1"/>
  <c r="I58" i="2"/>
  <c r="I64" i="2" s="1"/>
  <c r="H58" i="2"/>
  <c r="H64" i="2" s="1"/>
  <c r="G58" i="2"/>
  <c r="G64" i="2" s="1"/>
  <c r="F58" i="2"/>
  <c r="F64" i="2" s="1"/>
  <c r="E58" i="2"/>
  <c r="D58" i="2"/>
  <c r="C58" i="2"/>
  <c r="Q64" i="2"/>
  <c r="P64" i="2"/>
  <c r="O64" i="2"/>
  <c r="N64" i="2"/>
  <c r="E64" i="2"/>
  <c r="D64" i="2"/>
  <c r="C64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V45" i="2"/>
  <c r="V51" i="2" s="1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X45" i="2"/>
  <c r="V19" i="2" l="1"/>
  <c r="V30" i="2"/>
  <c r="AK16" i="2"/>
  <c r="AL17" i="2"/>
  <c r="AM17" i="2" s="1"/>
  <c r="AN18" i="2"/>
  <c r="AO18" i="2" s="1"/>
  <c r="AN17" i="2"/>
  <c r="AI14" i="2"/>
  <c r="Z10" i="2"/>
  <c r="Z14" i="2"/>
  <c r="Z15" i="2" s="1"/>
  <c r="AI10" i="2"/>
  <c r="AI29" i="2" s="1"/>
  <c r="AI26" i="2"/>
  <c r="AJ6" i="2"/>
  <c r="U19" i="2"/>
  <c r="U30" i="2"/>
  <c r="V74" i="2"/>
  <c r="V69" i="2"/>
  <c r="AH64" i="2"/>
  <c r="AH67" i="2" s="1"/>
  <c r="X51" i="2"/>
  <c r="X69" i="2" s="1"/>
  <c r="X70" i="2" s="1"/>
  <c r="AG6" i="2"/>
  <c r="AF6" i="2"/>
  <c r="AF5" i="2"/>
  <c r="AF4" i="2"/>
  <c r="T27" i="2"/>
  <c r="X26" i="2"/>
  <c r="W22" i="2"/>
  <c r="T14" i="2"/>
  <c r="T9" i="2"/>
  <c r="T10" i="2" s="1"/>
  <c r="T29" i="2" s="1"/>
  <c r="T6" i="2"/>
  <c r="X15" i="2"/>
  <c r="X30" i="2" s="1"/>
  <c r="X14" i="2"/>
  <c r="X27" i="2"/>
  <c r="X29" i="2"/>
  <c r="X10" i="2"/>
  <c r="X9" i="2"/>
  <c r="X6" i="2"/>
  <c r="W77" i="2"/>
  <c r="AL16" i="2" l="1"/>
  <c r="AM16" i="2" s="1"/>
  <c r="V21" i="2"/>
  <c r="V32" i="2"/>
  <c r="AK6" i="2"/>
  <c r="AK12" i="2" s="1"/>
  <c r="AJ12" i="2"/>
  <c r="AJ13" i="2"/>
  <c r="AJ11" i="2"/>
  <c r="AJ9" i="2"/>
  <c r="AJ10" i="2" s="1"/>
  <c r="AK9" i="2"/>
  <c r="AK10" i="2" s="1"/>
  <c r="AP18" i="2"/>
  <c r="AO17" i="2"/>
  <c r="AP17" i="2" s="1"/>
  <c r="Z30" i="2"/>
  <c r="Z19" i="2"/>
  <c r="AI15" i="2"/>
  <c r="U21" i="2"/>
  <c r="U32" i="2"/>
  <c r="T15" i="2"/>
  <c r="AH6" i="2"/>
  <c r="X19" i="2"/>
  <c r="W74" i="2"/>
  <c r="W78" i="2" s="1"/>
  <c r="W73" i="2"/>
  <c r="W72" i="2"/>
  <c r="W64" i="2"/>
  <c r="W58" i="2"/>
  <c r="W51" i="2"/>
  <c r="W48" i="2"/>
  <c r="W45" i="2"/>
  <c r="S14" i="2"/>
  <c r="W14" i="2"/>
  <c r="W26" i="2"/>
  <c r="W9" i="2"/>
  <c r="S9" i="2"/>
  <c r="S6" i="2"/>
  <c r="W6" i="2"/>
  <c r="AN16" i="2" l="1"/>
  <c r="AO16" i="2"/>
  <c r="V22" i="2"/>
  <c r="V31" i="2"/>
  <c r="AK11" i="2"/>
  <c r="AK13" i="2"/>
  <c r="AJ14" i="2"/>
  <c r="AL6" i="2"/>
  <c r="AL12" i="2" s="1"/>
  <c r="AJ15" i="2"/>
  <c r="AJ19" i="2" s="1"/>
  <c r="AK14" i="2"/>
  <c r="AK15" i="2" s="1"/>
  <c r="AK19" i="2" s="1"/>
  <c r="AQ18" i="2"/>
  <c r="AR18" i="2" s="1"/>
  <c r="AQ17" i="2"/>
  <c r="AR17" i="2" s="1"/>
  <c r="Z20" i="2"/>
  <c r="AI20" i="2" s="1"/>
  <c r="AI19" i="2"/>
  <c r="AI21" i="2" s="1"/>
  <c r="AI30" i="2"/>
  <c r="U31" i="2"/>
  <c r="U22" i="2"/>
  <c r="T30" i="2"/>
  <c r="T19" i="2"/>
  <c r="X32" i="2"/>
  <c r="X21" i="2"/>
  <c r="W69" i="2"/>
  <c r="W70" i="2" s="1"/>
  <c r="W80" i="2" s="1"/>
  <c r="S10" i="2"/>
  <c r="W10" i="2"/>
  <c r="Y83" i="2" l="1"/>
  <c r="W83" i="2"/>
  <c r="X83" i="2"/>
  <c r="AP16" i="2"/>
  <c r="AQ16" i="2" s="1"/>
  <c r="AR16" i="2" s="1"/>
  <c r="AL9" i="2"/>
  <c r="AL10" i="2" s="1"/>
  <c r="AL11" i="2"/>
  <c r="AL13" i="2"/>
  <c r="AM6" i="2"/>
  <c r="AM12" i="2" s="1"/>
  <c r="AJ20" i="2"/>
  <c r="AJ21" i="2" s="1"/>
  <c r="AJ22" i="2" s="1"/>
  <c r="AK20" i="2"/>
  <c r="AK21" i="2" s="1"/>
  <c r="AL14" i="2"/>
  <c r="AL15" i="2" s="1"/>
  <c r="AL19" i="2" s="1"/>
  <c r="AI22" i="2"/>
  <c r="AI31" i="2"/>
  <c r="Z21" i="2"/>
  <c r="AI32" i="2"/>
  <c r="T32" i="2"/>
  <c r="T21" i="2"/>
  <c r="X22" i="2"/>
  <c r="X31" i="2"/>
  <c r="S29" i="2"/>
  <c r="S15" i="2"/>
  <c r="W29" i="2"/>
  <c r="W15" i="2"/>
  <c r="C11" i="1"/>
  <c r="AU25" i="2" s="1"/>
  <c r="C8" i="1"/>
  <c r="C34" i="1" s="1"/>
  <c r="AM11" i="2" l="1"/>
  <c r="AM13" i="2"/>
  <c r="AM9" i="2"/>
  <c r="AM10" i="2" s="1"/>
  <c r="AN6" i="2"/>
  <c r="AN12" i="2" s="1"/>
  <c r="AK22" i="2"/>
  <c r="AL20" i="2"/>
  <c r="AL21" i="2" s="1"/>
  <c r="C12" i="1"/>
  <c r="Z22" i="2"/>
  <c r="Z31" i="2"/>
  <c r="T22" i="2"/>
  <c r="T31" i="2"/>
  <c r="S30" i="2"/>
  <c r="S19" i="2"/>
  <c r="W19" i="2"/>
  <c r="W30" i="2"/>
  <c r="AM14" i="2" l="1"/>
  <c r="AM15" i="2" s="1"/>
  <c r="AM19" i="2" s="1"/>
  <c r="AN11" i="2"/>
  <c r="AN9" i="2"/>
  <c r="AN10" i="2" s="1"/>
  <c r="AN13" i="2"/>
  <c r="AO6" i="2"/>
  <c r="AO12" i="2" s="1"/>
  <c r="AL22" i="2"/>
  <c r="AM20" i="2"/>
  <c r="AM21" i="2" s="1"/>
  <c r="AM22" i="2" s="1"/>
  <c r="S21" i="2"/>
  <c r="S32" i="2"/>
  <c r="W21" i="2"/>
  <c r="W32" i="2"/>
  <c r="AN14" i="2" l="1"/>
  <c r="AN15" i="2" s="1"/>
  <c r="AN19" i="2" s="1"/>
  <c r="AO9" i="2"/>
  <c r="AO10" i="2" s="1"/>
  <c r="AO13" i="2"/>
  <c r="AP6" i="2"/>
  <c r="AP12" i="2" s="1"/>
  <c r="AO11" i="2"/>
  <c r="AO14" i="2" s="1"/>
  <c r="AO15" i="2" s="1"/>
  <c r="AO19" i="2" s="1"/>
  <c r="AN20" i="2"/>
  <c r="AN21" i="2" s="1"/>
  <c r="AN22" i="2" s="1"/>
  <c r="S22" i="2"/>
  <c r="V83" i="2" s="1"/>
  <c r="S31" i="2"/>
  <c r="W31" i="2"/>
  <c r="AP9" i="2" l="1"/>
  <c r="AP10" i="2" s="1"/>
  <c r="AP11" i="2"/>
  <c r="AP13" i="2"/>
  <c r="AQ6" i="2"/>
  <c r="AQ12" i="2" s="1"/>
  <c r="AO20" i="2"/>
  <c r="AO21" i="2" s="1"/>
  <c r="AP14" i="2" l="1"/>
  <c r="AP15" i="2" s="1"/>
  <c r="AP19" i="2" s="1"/>
  <c r="AP20" i="2" s="1"/>
  <c r="AP21" i="2" s="1"/>
  <c r="AP22" i="2" s="1"/>
  <c r="AQ9" i="2"/>
  <c r="AQ10" i="2" s="1"/>
  <c r="AQ11" i="2"/>
  <c r="AQ13" i="2"/>
  <c r="AR6" i="2"/>
  <c r="AR12" i="2" s="1"/>
  <c r="AO22" i="2"/>
  <c r="AQ14" i="2" l="1"/>
  <c r="AQ15" i="2" s="1"/>
  <c r="AQ19" i="2" s="1"/>
  <c r="AQ20" i="2" s="1"/>
  <c r="AQ21" i="2" s="1"/>
  <c r="AR9" i="2"/>
  <c r="AR10" i="2" s="1"/>
  <c r="AR11" i="2"/>
  <c r="AR13" i="2"/>
  <c r="AR14" i="2" l="1"/>
  <c r="AR15" i="2" s="1"/>
  <c r="AR19" i="2" s="1"/>
  <c r="AR20" i="2" s="1"/>
  <c r="AR21" i="2" s="1"/>
  <c r="AR22" i="2" s="1"/>
  <c r="AQ22" i="2"/>
  <c r="AS21" i="2" l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AU24" i="2" s="1"/>
  <c r="AU26" i="2" s="1"/>
  <c r="AU27" i="2" s="1"/>
  <c r="AU29" i="2" s="1"/>
</calcChain>
</file>

<file path=xl/sharedStrings.xml><?xml version="1.0" encoding="utf-8"?>
<sst xmlns="http://schemas.openxmlformats.org/spreadsheetml/2006/main" count="182" uniqueCount="159">
  <si>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</si>
  <si>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</si>
  <si>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</si>
  <si>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</si>
  <si>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</si>
  <si>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</si>
  <si>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</si>
  <si>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</si>
  <si>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</si>
  <si>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</si>
  <si>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</si>
  <si>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</si>
  <si>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</si>
  <si>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</si>
  <si>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</si>
  <si>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</si>
  <si>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</si>
  <si>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</si>
  <si>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</si>
  <si>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</si>
  <si>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</si>
  <si>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</si>
  <si>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</si>
  <si>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</si>
  <si>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</si>
  <si>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</si>
  <si>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</si>
  <si>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</si>
  <si>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</si>
  <si>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</si>
  <si>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</si>
  <si>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</si>
  <si>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</si>
  <si>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</si>
  <si>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</si>
  <si>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</si>
  <si>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</si>
  <si>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</si>
  <si>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</si>
  <si>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</si>
  <si>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</si>
  <si>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</si>
  <si>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</si>
  <si>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</si>
  <si>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</si>
  <si>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</si>
  <si>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</si>
  <si>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</si>
  <si>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</si>
  <si>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</si>
  <si>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</si>
  <si>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</si>
  <si>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</si>
  <si>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</si>
  <si>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</si>
  <si>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</si>
  <si>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</si>
  <si>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</si>
  <si>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</si>
  <si>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</si>
  <si>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</si>
  <si>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</si>
  <si>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</si>
  <si>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</si>
  <si>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</si>
  <si>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</si>
  <si>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</si>
  <si>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</si>
  <si>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</si>
  <si>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</si>
  <si>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</si>
  <si>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</si>
  <si>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</si>
  <si>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</si>
  <si>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</si>
  <si>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</si>
  <si>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</si>
  <si>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</si>
  <si>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</si>
  <si>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</si>
  <si>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</si>
  <si>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</si>
  <si>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</si>
  <si>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</si>
  <si>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</si>
  <si>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</si>
  <si>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</si>
  <si>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</si>
  <si>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</si>
  <si>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</si>
  <si>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</si>
  <si>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</si>
  <si>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</si>
  <si>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</si>
  <si>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</si>
  <si>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</si>
  <si>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</si>
  <si>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</si>
  <si>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</si>
  <si>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</si>
  <si>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</si>
  <si>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</si>
  <si>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</si>
  <si>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</si>
  <si>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</si>
  <si>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</si>
  <si>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</si>
  <si>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</si>
  <si>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</si>
  <si>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</si>
  <si>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</si>
  <si>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</si>
  <si>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</si>
  <si>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</si>
  <si>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</si>
  <si>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</si>
  <si>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</si>
  <si>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</si>
  <si>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</si>
  <si>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</si>
  <si>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</si>
  <si>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</si>
  <si>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</si>
  <si>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</si>
  <si>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</si>
  <si>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</si>
  <si>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</si>
  <si>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</si>
  <si>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</si>
  <si>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</si>
  <si>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</si>
  <si>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</si>
  <si>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</si>
  <si>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</si>
  <si>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</si>
  <si>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</si>
  <si>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</si>
  <si>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</si>
  <si>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</si>
  <si>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</si>
  <si>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</si>
  <si>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</si>
  <si>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</si>
  <si>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</si>
  <si>
    <t>f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</si>
  <si>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</si>
  <si>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</si>
  <si>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</si>
  <si>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</si>
  <si>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</si>
  <si>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</si>
  <si>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</si>
  <si>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Cashflow Statement</t>
  </si>
  <si>
    <t>CFFO</t>
  </si>
  <si>
    <t>CapEx</t>
  </si>
  <si>
    <t>FCF</t>
  </si>
  <si>
    <t>Emply.</t>
  </si>
  <si>
    <t>Non-Finance Metrics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</si>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</sst>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4" fontId="1" fillId="3" borderId="1" xfId="0" applyNumberFormat="1" applyFont="1" applyFill="1" applyBorder="1"/>
    <xf numFmtId="164" fontId="1" fillId="3" borderId="4" xfId="0" applyNumberFormat="1" applyFont="1" applyFill="1" applyBorder="1"/>
    <xf numFmtId="164" fontId="1" fillId="0" borderId="5" xfId="0" applyNumberFormat="1" applyFont="1" applyBorder="1"/>
    <xf numFmtId="0" fontId="1" fillId="3" borderId="4" xfId="0" applyFont="1" applyFill="1" applyBorder="1"/>
    <xf numFmtId="0" fontId="1" fillId="0" borderId="5" xfId="0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2" fontId="2" fillId="0" borderId="5" xfId="0" applyNumberFormat="1" applyFont="1" applyBorder="1"/>
    <xf numFmtId="0" fontId="2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9" fontId="8" fillId="0" borderId="0" xfId="0" applyNumberFormat="1" applyFont="1"/>
    <xf numFmtId="3" fontId="1" fillId="0" borderId="0" xfId="0" applyNumberFormat="1" applyFont="1"/>
    <xf numFmtId="3" fontId="5" fillId="6" borderId="0" xfId="0" applyNumberFormat="1" applyFont="1" applyFill="1"/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25</xdr:col>
      <xdr:colOff>0</xdr:colOff>
      <xdr:row>108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6373475" y="0"/>
          <a:ext cx="0" cy="17106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0</xdr:row>
      <xdr:rowOff>0</xdr:rowOff>
    </xdr:from>
    <xdr:to>
      <xdr:col>34</xdr:col>
      <xdr:colOff>9525</xdr:colOff>
      <xdr:row>107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1869400" y="0"/>
          <a:ext cx="0" cy="169735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ongodb.com/node/10526/html" TargetMode="External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vestors.mongodb.com/node/9441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tabSelected="1" workbookViewId="0">
      <selection activeCell="C27" sqref="C27:D27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76" t="s">
        <v>1</v>
      </c>
      <c r="C5" s="77"/>
      <c r="D5" s="78"/>
      <c r="G5" s="76" t="s">
        <v>25</v>
      </c>
      <c r="H5" s="77"/>
      <c r="I5" s="77"/>
      <c r="J5" s="77"/>
      <c r="K5" s="77"/>
      <c r="L5" s="77"/>
      <c r="M5" s="77"/>
      <c r="N5" s="77"/>
      <c r="O5" s="77"/>
      <c r="P5" s="77"/>
      <c r="Q5" s="78"/>
      <c r="T5" s="71" t="s">
        <v>34</v>
      </c>
      <c r="U5" s="71"/>
      <c r="V5" s="71"/>
      <c r="W5" s="71"/>
      <c r="Z5" s="71" t="s">
        <v>131</v>
      </c>
      <c r="AA5" s="71"/>
      <c r="AB5" s="71"/>
    </row>
    <row r="6" spans="1:28" x14ac:dyDescent="0.2">
      <c r="B6" s="3" t="s">
        <v>2</v>
      </c>
      <c r="C6" s="4">
        <v>191.75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Model'!Y23</f>
        <v>68.916813000000005</v>
      </c>
      <c r="D7" s="10" t="str">
        <f>$C$28</f>
        <v>FQ323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13214.798892750001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Model'!Y72</f>
        <v>1787.5319999999999</v>
      </c>
      <c r="D9" s="10" t="str">
        <f t="shared" ref="D9:D11" si="0">$C$28</f>
        <v>FQ323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Model'!Y73</f>
        <v>1139.0419999999999</v>
      </c>
      <c r="D10" s="10" t="str">
        <f t="shared" si="0"/>
        <v>FQ323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648.49</v>
      </c>
      <c r="D11" s="10" t="str">
        <f t="shared" si="0"/>
        <v>FQ323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12566.308892750001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76" t="s">
        <v>9</v>
      </c>
      <c r="C15" s="77"/>
      <c r="D15" s="78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72" t="s">
        <v>27</v>
      </c>
      <c r="D16" s="73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72" t="s">
        <v>31</v>
      </c>
      <c r="D17" s="73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72" t="s">
        <v>33</v>
      </c>
      <c r="D18" s="73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79" t="s">
        <v>30</v>
      </c>
      <c r="D19" s="80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  <c r="Y19" s="1" t="s">
        <v>144</v>
      </c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76" t="s">
        <v>14</v>
      </c>
      <c r="C22" s="77"/>
      <c r="D22" s="78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72" t="s">
        <v>141</v>
      </c>
      <c r="D23" s="73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72">
        <v>2007</v>
      </c>
      <c r="D24" s="73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72">
        <v>2017</v>
      </c>
      <c r="D25" s="73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 t="s">
        <v>156</v>
      </c>
      <c r="C26" s="86">
        <f>'Financial Model'!AH35</f>
        <v>3544</v>
      </c>
      <c r="D26" s="73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72"/>
      <c r="D27" s="73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71</v>
      </c>
      <c r="D28" s="26">
        <v>44901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74" t="s">
        <v>130</v>
      </c>
      <c r="D29" s="75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76" t="s">
        <v>19</v>
      </c>
      <c r="C32" s="77"/>
      <c r="D32" s="78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81">
        <f>C6/'Financial Model'!Y70</f>
        <v>19.311919490429393</v>
      </c>
      <c r="D33" s="82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81">
        <f>C8/SUM('Financial Model'!V6:Y6)</f>
        <v>11.112137929461445</v>
      </c>
      <c r="D34" s="82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72"/>
      <c r="D35" s="73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72"/>
      <c r="D36" s="73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72"/>
      <c r="D37" s="73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72"/>
      <c r="D38" s="73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CV93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AH35" sqref="AH35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49"/>
    <col min="27" max="34" width="9.140625" style="1"/>
    <col min="35" max="35" width="9.140625" style="54"/>
    <col min="36" max="45" width="9.140625" style="1"/>
    <col min="46" max="46" width="17.5703125" style="1" bestFit="1" customWidth="1"/>
    <col min="47" max="16384" width="9.140625" style="1"/>
  </cols>
  <sheetData>
    <row r="1" spans="2:44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51" t="s">
        <v>90</v>
      </c>
      <c r="AD1" s="23" t="s">
        <v>56</v>
      </c>
      <c r="AE1" s="23" t="s">
        <v>57</v>
      </c>
      <c r="AF1" s="23" t="s">
        <v>58</v>
      </c>
      <c r="AG1" s="23" t="s">
        <v>59</v>
      </c>
      <c r="AH1" s="35" t="s">
        <v>60</v>
      </c>
      <c r="AI1" s="58" t="s">
        <v>61</v>
      </c>
      <c r="AJ1" s="23" t="s">
        <v>62</v>
      </c>
      <c r="AK1" s="23" t="s">
        <v>63</v>
      </c>
      <c r="AL1" s="23" t="s">
        <v>64</v>
      </c>
      <c r="AM1" s="23" t="s">
        <v>65</v>
      </c>
      <c r="AN1" s="23" t="s">
        <v>66</v>
      </c>
      <c r="AO1" s="23" t="s">
        <v>67</v>
      </c>
      <c r="AP1" s="23" t="s">
        <v>68</v>
      </c>
      <c r="AQ1" s="23" t="s">
        <v>69</v>
      </c>
      <c r="AR1" s="23" t="s">
        <v>70</v>
      </c>
    </row>
    <row r="2" spans="2:44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50" t="s">
        <v>143</v>
      </c>
      <c r="AG2" s="28">
        <v>44227</v>
      </c>
      <c r="AH2" s="28">
        <v>44592</v>
      </c>
      <c r="AI2" s="59" t="s">
        <v>143</v>
      </c>
    </row>
    <row r="3" spans="2:44" s="24" customFormat="1" x14ac:dyDescent="0.2">
      <c r="B3" s="25"/>
      <c r="Z3" s="50"/>
      <c r="AH3" s="46">
        <v>44638</v>
      </c>
      <c r="AI3" s="59"/>
    </row>
    <row r="4" spans="2:44" s="38" customFormat="1" x14ac:dyDescent="0.2">
      <c r="B4" s="29" t="s">
        <v>80</v>
      </c>
      <c r="R4" s="34">
        <f>AG4-SUM(O4:Q4)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AH4-SUM(S4:U4)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49"/>
      <c r="AF4" s="38">
        <f>SUM(K4:N4)</f>
        <v>0</v>
      </c>
      <c r="AG4" s="38">
        <v>565.34900000000005</v>
      </c>
      <c r="AH4" s="34">
        <v>842.04700000000003</v>
      </c>
      <c r="AI4" s="54"/>
    </row>
    <row r="5" spans="2:44" s="38" customFormat="1" x14ac:dyDescent="0.2">
      <c r="B5" s="29" t="s">
        <v>81</v>
      </c>
      <c r="R5" s="34">
        <f>AG5-SUM(O5:Q5)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AH5-SUM(S5:U5)</f>
        <v>8.2689999999999984</v>
      </c>
      <c r="W5" s="34">
        <v>10.866</v>
      </c>
      <c r="X5" s="42">
        <v>12.053000000000001</v>
      </c>
      <c r="Y5" s="34">
        <v>12.865</v>
      </c>
      <c r="Z5" s="49"/>
      <c r="AF5" s="38">
        <f>SUM(K5:N5)</f>
        <v>0</v>
      </c>
      <c r="AG5" s="38">
        <v>25.030999999999999</v>
      </c>
      <c r="AH5" s="34">
        <v>31.734999999999999</v>
      </c>
      <c r="AI5" s="54"/>
    </row>
    <row r="6" spans="2:44" s="2" customFormat="1" x14ac:dyDescent="0.2">
      <c r="B6" s="2" t="s">
        <v>76</v>
      </c>
      <c r="R6" s="31">
        <f t="shared" ref="R6:Y6" si="0">R4+R5</f>
        <v>590.38</v>
      </c>
      <c r="S6" s="31">
        <f t="shared" si="0"/>
        <v>181.648</v>
      </c>
      <c r="T6" s="31">
        <f t="shared" si="0"/>
        <v>198.74700000000001</v>
      </c>
      <c r="U6" s="31">
        <f t="shared" si="0"/>
        <v>226.893</v>
      </c>
      <c r="V6" s="31">
        <f t="shared" si="0"/>
        <v>266.49400000000003</v>
      </c>
      <c r="W6" s="31">
        <f t="shared" si="0"/>
        <v>285.447</v>
      </c>
      <c r="X6" s="41">
        <f t="shared" si="0"/>
        <v>303.66000000000003</v>
      </c>
      <c r="Y6" s="31">
        <f t="shared" si="0"/>
        <v>333.62099999999998</v>
      </c>
      <c r="Z6" s="52">
        <f>Y6*(1+Z27)</f>
        <v>373.65552000000002</v>
      </c>
      <c r="AF6" s="41">
        <f>AF4+AF5</f>
        <v>0</v>
      </c>
      <c r="AG6" s="41">
        <f>AG4+AG5</f>
        <v>590.38</v>
      </c>
      <c r="AH6" s="41">
        <f>AH4+AH5</f>
        <v>873.78200000000004</v>
      </c>
      <c r="AI6" s="52">
        <f>SUM(W6:Z6)</f>
        <v>1296.3835199999999</v>
      </c>
      <c r="AJ6" s="31">
        <f>AI6*(1+AJ26)</f>
        <v>1944.5752799999998</v>
      </c>
      <c r="AK6" s="31">
        <f t="shared" ref="AK6:AR6" si="1">AJ6*(1+AK26)</f>
        <v>2916.8629199999996</v>
      </c>
      <c r="AL6" s="31">
        <f t="shared" si="1"/>
        <v>4083.608087999999</v>
      </c>
      <c r="AM6" s="31">
        <f t="shared" si="1"/>
        <v>5308.6905143999993</v>
      </c>
      <c r="AN6" s="31">
        <f t="shared" si="1"/>
        <v>6635.8631429999987</v>
      </c>
      <c r="AO6" s="31">
        <f t="shared" si="1"/>
        <v>7963.035771599998</v>
      </c>
      <c r="AP6" s="31">
        <f t="shared" si="1"/>
        <v>9157.4911373399973</v>
      </c>
      <c r="AQ6" s="31">
        <f t="shared" si="1"/>
        <v>10073.240251073998</v>
      </c>
      <c r="AR6" s="31">
        <f t="shared" si="1"/>
        <v>10576.902263627699</v>
      </c>
    </row>
    <row r="7" spans="2:44" s="38" customFormat="1" x14ac:dyDescent="0.2">
      <c r="B7" s="29" t="s">
        <v>78</v>
      </c>
      <c r="R7" s="34">
        <f t="shared" ref="R7:R8" si="2">AG7-SUM(O7:Q7)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3">AH7-SUM(S7:U7)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53"/>
      <c r="AG7" s="38">
        <v>145.28</v>
      </c>
      <c r="AH7" s="38">
        <v>217.90100000000001</v>
      </c>
      <c r="AI7" s="54"/>
    </row>
    <row r="8" spans="2:44" s="38" customFormat="1" x14ac:dyDescent="0.2">
      <c r="B8" s="29" t="s">
        <v>79</v>
      </c>
      <c r="R8" s="34">
        <f t="shared" si="2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3"/>
        <v>11.632000000000005</v>
      </c>
      <c r="W8" s="38">
        <v>13.646000000000001</v>
      </c>
      <c r="X8" s="42">
        <v>16.841999999999999</v>
      </c>
      <c r="Y8" s="34">
        <v>16.501999999999999</v>
      </c>
      <c r="Z8" s="49"/>
      <c r="AG8" s="38">
        <v>31.795999999999999</v>
      </c>
      <c r="AH8" s="38">
        <v>41.591000000000001</v>
      </c>
      <c r="AI8" s="54"/>
    </row>
    <row r="9" spans="2:44" x14ac:dyDescent="0.2">
      <c r="B9" s="1" t="s">
        <v>77</v>
      </c>
      <c r="R9" s="30">
        <f t="shared" ref="R9" si="4">R7+R8</f>
        <v>177.07599999999999</v>
      </c>
      <c r="S9" s="1">
        <f>S7+S8</f>
        <v>54.527999999999999</v>
      </c>
      <c r="T9" s="1">
        <f t="shared" ref="T9:U9" si="5">T7+T8</f>
        <v>60.701999999999998</v>
      </c>
      <c r="U9" s="30">
        <f t="shared" si="5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6">X7+X8</f>
        <v>88.277000000000001</v>
      </c>
      <c r="Y9" s="30">
        <f t="shared" si="6"/>
        <v>93.652000000000001</v>
      </c>
      <c r="Z9" s="57">
        <f>Z6*(1-Z29)</f>
        <v>104.62354560000001</v>
      </c>
      <c r="AG9" s="30">
        <f t="shared" ref="AG9:AH9" si="7">AG7+AG8</f>
        <v>177.07599999999999</v>
      </c>
      <c r="AH9" s="30">
        <f t="shared" si="7"/>
        <v>259.49200000000002</v>
      </c>
      <c r="AI9" s="54">
        <f>SUM(W9:Z9)</f>
        <v>364.76754560000001</v>
      </c>
      <c r="AJ9" s="30">
        <f>AJ6*(1-AJ29)</f>
        <v>544.4810784</v>
      </c>
      <c r="AK9" s="30">
        <f t="shared" ref="AK9:AR9" si="8">AK6*(1-AK29)</f>
        <v>816.72161759999995</v>
      </c>
      <c r="AL9" s="30">
        <f t="shared" si="8"/>
        <v>1143.4102646399999</v>
      </c>
      <c r="AM9" s="30">
        <f t="shared" si="8"/>
        <v>1486.4333440319999</v>
      </c>
      <c r="AN9" s="30">
        <f t="shared" si="8"/>
        <v>1858.0416800399998</v>
      </c>
      <c r="AO9" s="30">
        <f t="shared" si="8"/>
        <v>2229.6500160479995</v>
      </c>
      <c r="AP9" s="30">
        <f t="shared" si="8"/>
        <v>2564.0975184551994</v>
      </c>
      <c r="AQ9" s="30">
        <f t="shared" si="8"/>
        <v>2820.5072703007195</v>
      </c>
      <c r="AR9" s="30">
        <f t="shared" si="8"/>
        <v>2961.5326338157561</v>
      </c>
    </row>
    <row r="10" spans="2:44" s="2" customFormat="1" x14ac:dyDescent="0.2">
      <c r="B10" s="2" t="s">
        <v>82</v>
      </c>
      <c r="R10" s="31">
        <f t="shared" ref="R10" si="9">R6-R9</f>
        <v>413.30399999999997</v>
      </c>
      <c r="S10" s="31">
        <f>S6-S9</f>
        <v>127.12</v>
      </c>
      <c r="T10" s="31">
        <f t="shared" ref="T10:U10" si="10">T6-T9</f>
        <v>138.04500000000002</v>
      </c>
      <c r="U10" s="31">
        <f t="shared" si="10"/>
        <v>158.429</v>
      </c>
      <c r="V10" s="31">
        <f>V6-V9</f>
        <v>190.69600000000003</v>
      </c>
      <c r="W10" s="31">
        <f>W6-W9</f>
        <v>207.232</v>
      </c>
      <c r="X10" s="41">
        <f t="shared" ref="X10:Y10" si="11">X6-X9</f>
        <v>215.38300000000004</v>
      </c>
      <c r="Y10" s="31">
        <f t="shared" si="11"/>
        <v>239.96899999999999</v>
      </c>
      <c r="Z10" s="52">
        <f>Z6-Z9</f>
        <v>269.03197440000002</v>
      </c>
      <c r="AG10" s="31">
        <f t="shared" ref="AG10:AH10" si="12">AG6-AG9</f>
        <v>413.30399999999997</v>
      </c>
      <c r="AH10" s="31">
        <f t="shared" si="12"/>
        <v>614.29</v>
      </c>
      <c r="AI10" s="52">
        <f>AI6-AI9</f>
        <v>931.61597439999991</v>
      </c>
      <c r="AJ10" s="31">
        <f>AJ6-AJ9</f>
        <v>1400.0942015999999</v>
      </c>
      <c r="AK10" s="31">
        <f t="shared" ref="AK10:AR10" si="13">AK6-AK9</f>
        <v>2100.1413023999994</v>
      </c>
      <c r="AL10" s="31">
        <f t="shared" si="13"/>
        <v>2940.1978233599993</v>
      </c>
      <c r="AM10" s="31">
        <f t="shared" si="13"/>
        <v>3822.2571703679996</v>
      </c>
      <c r="AN10" s="31">
        <f t="shared" si="13"/>
        <v>4777.8214629599988</v>
      </c>
      <c r="AO10" s="31">
        <f t="shared" si="13"/>
        <v>5733.385755551999</v>
      </c>
      <c r="AP10" s="31">
        <f t="shared" si="13"/>
        <v>6593.3936188847983</v>
      </c>
      <c r="AQ10" s="31">
        <f t="shared" si="13"/>
        <v>7252.7329807732785</v>
      </c>
      <c r="AR10" s="31">
        <f t="shared" si="13"/>
        <v>7615.369629811943</v>
      </c>
    </row>
    <row r="11" spans="2:44" s="30" customFormat="1" x14ac:dyDescent="0.2">
      <c r="B11" s="30" t="s">
        <v>91</v>
      </c>
      <c r="R11" s="30">
        <f t="shared" ref="R11:R13" si="14">AG11-SUM(O11:Q11)</f>
        <v>325.10000000000002</v>
      </c>
      <c r="S11" s="30">
        <v>97.89</v>
      </c>
      <c r="T11" s="30">
        <v>109.377</v>
      </c>
      <c r="U11" s="30">
        <v>120.36</v>
      </c>
      <c r="V11" s="30">
        <f>AH11-SUM(S11:U11)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54">
        <f>Z6*0.53</f>
        <v>198.03742560000003</v>
      </c>
      <c r="AB11" s="36"/>
      <c r="AC11" s="36"/>
      <c r="AD11" s="36"/>
      <c r="AE11" s="36"/>
      <c r="AG11" s="30">
        <v>325.10000000000002</v>
      </c>
      <c r="AH11" s="30">
        <v>471.89</v>
      </c>
      <c r="AI11" s="54">
        <f t="shared" ref="AI11:AI13" si="15">SUM(W11:Z11)</f>
        <v>707.32242559999997</v>
      </c>
      <c r="AJ11" s="30">
        <f>AJ6*0.5</f>
        <v>972.2876399999999</v>
      </c>
      <c r="AK11" s="30">
        <f>AK6*0.45</f>
        <v>1312.5883139999999</v>
      </c>
      <c r="AL11" s="30">
        <f t="shared" ref="AL11:AM11" si="16">AL6*0.45</f>
        <v>1837.6236395999997</v>
      </c>
      <c r="AM11" s="30">
        <f t="shared" si="16"/>
        <v>2388.9107314799999</v>
      </c>
      <c r="AN11" s="30">
        <f>AN6*0.35</f>
        <v>2322.5521000499994</v>
      </c>
      <c r="AO11" s="30">
        <f t="shared" ref="AO11:AR11" si="17">AO6*0.35</f>
        <v>2787.0625200599993</v>
      </c>
      <c r="AP11" s="30">
        <f t="shared" si="17"/>
        <v>3205.1218980689987</v>
      </c>
      <c r="AQ11" s="30">
        <f t="shared" si="17"/>
        <v>3525.6340878758988</v>
      </c>
      <c r="AR11" s="30">
        <f t="shared" si="17"/>
        <v>3701.9157922696941</v>
      </c>
    </row>
    <row r="12" spans="2:44" s="30" customFormat="1" x14ac:dyDescent="0.2">
      <c r="B12" s="30" t="s">
        <v>92</v>
      </c>
      <c r="R12" s="30">
        <f t="shared" si="14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8">AH12-SUM(S12:U12)</f>
        <v>89.417000000000002</v>
      </c>
      <c r="W12" s="30">
        <v>96.372</v>
      </c>
      <c r="X12" s="30">
        <v>108.03700000000001</v>
      </c>
      <c r="Y12" s="30">
        <v>106.392</v>
      </c>
      <c r="Z12" s="54">
        <f>Z6*0.31</f>
        <v>115.83321120000001</v>
      </c>
      <c r="AB12" s="36"/>
      <c r="AC12" s="36"/>
      <c r="AD12" s="36"/>
      <c r="AE12" s="36"/>
      <c r="AG12" s="30">
        <v>205.161</v>
      </c>
      <c r="AH12" s="30">
        <v>308.82</v>
      </c>
      <c r="AI12" s="54">
        <f t="shared" si="15"/>
        <v>426.63421119999998</v>
      </c>
      <c r="AJ12" s="30">
        <f>AJ6*0.28</f>
        <v>544.4810784</v>
      </c>
      <c r="AK12" s="30">
        <f>AK6*0.26</f>
        <v>758.38435919999995</v>
      </c>
      <c r="AL12" s="30">
        <f>AL6*0.2</f>
        <v>816.72161759999983</v>
      </c>
      <c r="AM12" s="30">
        <f>AM6*0.18</f>
        <v>955.56429259199979</v>
      </c>
      <c r="AN12" s="30">
        <f>AN6*0.15</f>
        <v>995.37947144999976</v>
      </c>
      <c r="AO12" s="30">
        <f>AO6*0.1</f>
        <v>796.3035771599998</v>
      </c>
      <c r="AP12" s="30">
        <f>AP6*0.05</f>
        <v>457.87455686699991</v>
      </c>
      <c r="AQ12" s="30">
        <f t="shared" ref="AQ12:AR12" si="19">AQ6*0.05</f>
        <v>503.66201255369992</v>
      </c>
      <c r="AR12" s="30">
        <f t="shared" si="19"/>
        <v>528.84511318138493</v>
      </c>
    </row>
    <row r="13" spans="2:44" s="30" customFormat="1" x14ac:dyDescent="0.2">
      <c r="B13" s="30" t="s">
        <v>93</v>
      </c>
      <c r="R13" s="30">
        <f t="shared" si="14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8"/>
        <v>35.635000000000005</v>
      </c>
      <c r="W13" s="30">
        <v>36.531999999999996</v>
      </c>
      <c r="X13" s="30">
        <v>40.591000000000001</v>
      </c>
      <c r="Y13" s="30">
        <v>39.081000000000003</v>
      </c>
      <c r="Z13" s="54">
        <f>Z6*0.12</f>
        <v>44.838662400000004</v>
      </c>
      <c r="AB13" s="36"/>
      <c r="AC13" s="36"/>
      <c r="AD13" s="36"/>
      <c r="AE13" s="36"/>
      <c r="AG13" s="30">
        <v>92.346999999999994</v>
      </c>
      <c r="AH13" s="30">
        <v>122.944</v>
      </c>
      <c r="AI13" s="54">
        <f t="shared" si="15"/>
        <v>161.04266239999998</v>
      </c>
      <c r="AJ13" s="30">
        <f>AJ6*0.1</f>
        <v>194.457528</v>
      </c>
      <c r="AK13" s="30">
        <f t="shared" ref="AK13:AR13" si="20">AK6*0.1</f>
        <v>291.68629199999998</v>
      </c>
      <c r="AL13" s="30">
        <f t="shared" si="20"/>
        <v>408.36080879999992</v>
      </c>
      <c r="AM13" s="30">
        <f t="shared" si="20"/>
        <v>530.86905143999991</v>
      </c>
      <c r="AN13" s="30">
        <f t="shared" si="20"/>
        <v>663.58631429999991</v>
      </c>
      <c r="AO13" s="30">
        <f t="shared" si="20"/>
        <v>796.3035771599998</v>
      </c>
      <c r="AP13" s="30">
        <f t="shared" si="20"/>
        <v>915.74911373399982</v>
      </c>
      <c r="AQ13" s="30">
        <f t="shared" si="20"/>
        <v>1007.3240251073998</v>
      </c>
      <c r="AR13" s="30">
        <f t="shared" si="20"/>
        <v>1057.6902263627699</v>
      </c>
    </row>
    <row r="14" spans="2:44" s="30" customFormat="1" x14ac:dyDescent="0.2">
      <c r="B14" s="30" t="s">
        <v>94</v>
      </c>
      <c r="R14" s="30">
        <f t="shared" ref="R14" si="21">R11+R12+R13</f>
        <v>622.60799999999995</v>
      </c>
      <c r="S14" s="30">
        <f>S11+S12+S13</f>
        <v>188.56600000000003</v>
      </c>
      <c r="T14" s="30">
        <f t="shared" ref="T14:U14" si="22">T11+T12+T13</f>
        <v>210.57599999999999</v>
      </c>
      <c r="U14" s="30">
        <f t="shared" si="22"/>
        <v>235.197</v>
      </c>
      <c r="V14" s="30">
        <f t="shared" ref="V14" si="23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:Z14" si="24">Y11+Y12+Y13</f>
        <v>322.89200000000005</v>
      </c>
      <c r="Z14" s="54">
        <f t="shared" si="24"/>
        <v>358.70929920000003</v>
      </c>
      <c r="AG14" s="30">
        <f t="shared" ref="AG14" si="25">AG11+AG12+AG13</f>
        <v>622.60799999999995</v>
      </c>
      <c r="AH14" s="30">
        <f t="shared" ref="AH14:AR14" si="26">AH11+AH12+AH13</f>
        <v>903.654</v>
      </c>
      <c r="AI14" s="54">
        <f t="shared" si="26"/>
        <v>1294.9992992</v>
      </c>
      <c r="AJ14" s="30">
        <f t="shared" si="26"/>
        <v>1711.2262463999998</v>
      </c>
      <c r="AK14" s="30">
        <f t="shared" si="26"/>
        <v>2362.6589651999998</v>
      </c>
      <c r="AL14" s="30">
        <f t="shared" si="26"/>
        <v>3062.7060659999997</v>
      </c>
      <c r="AM14" s="30">
        <f t="shared" si="26"/>
        <v>3875.3440755119996</v>
      </c>
      <c r="AN14" s="30">
        <f t="shared" si="26"/>
        <v>3981.517885799999</v>
      </c>
      <c r="AO14" s="30">
        <f t="shared" si="26"/>
        <v>4379.6696743799985</v>
      </c>
      <c r="AP14" s="30">
        <f t="shared" si="26"/>
        <v>4578.7455686699977</v>
      </c>
      <c r="AQ14" s="30">
        <f t="shared" si="26"/>
        <v>5036.6201255369979</v>
      </c>
      <c r="AR14" s="30">
        <f t="shared" si="26"/>
        <v>5288.4511318138493</v>
      </c>
    </row>
    <row r="15" spans="2:44" s="31" customFormat="1" x14ac:dyDescent="0.2">
      <c r="B15" s="31" t="s">
        <v>95</v>
      </c>
      <c r="R15" s="31">
        <f t="shared" ref="R15" si="27">R10-R14</f>
        <v>-209.30399999999997</v>
      </c>
      <c r="S15" s="31">
        <f>S10-S14</f>
        <v>-61.446000000000026</v>
      </c>
      <c r="T15" s="31">
        <f t="shared" ref="T15:U15" si="28">T10-T14</f>
        <v>-72.530999999999977</v>
      </c>
      <c r="U15" s="31">
        <f t="shared" si="28"/>
        <v>-76.768000000000001</v>
      </c>
      <c r="V15" s="31">
        <f t="shared" ref="V15" si="29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:Z15" si="30">Y10-Y14</f>
        <v>-82.923000000000059</v>
      </c>
      <c r="Z15" s="52">
        <f t="shared" si="30"/>
        <v>-89.677324800000008</v>
      </c>
      <c r="AG15" s="31">
        <f t="shared" ref="AG15" si="31">AG10-AG14</f>
        <v>-209.30399999999997</v>
      </c>
      <c r="AH15" s="31">
        <f t="shared" ref="AH15:AR15" si="32">AH10-AH14</f>
        <v>-289.36400000000003</v>
      </c>
      <c r="AI15" s="52">
        <f t="shared" si="32"/>
        <v>-363.38332480000008</v>
      </c>
      <c r="AJ15" s="31">
        <f t="shared" si="32"/>
        <v>-311.1320447999999</v>
      </c>
      <c r="AK15" s="31">
        <f t="shared" si="32"/>
        <v>-262.51766280000038</v>
      </c>
      <c r="AL15" s="31">
        <f t="shared" si="32"/>
        <v>-122.50824264000039</v>
      </c>
      <c r="AM15" s="31">
        <f t="shared" si="32"/>
        <v>-53.086905143999957</v>
      </c>
      <c r="AN15" s="31">
        <f t="shared" si="32"/>
        <v>796.3035771599998</v>
      </c>
      <c r="AO15" s="31">
        <f t="shared" si="32"/>
        <v>1353.7160811720005</v>
      </c>
      <c r="AP15" s="31">
        <f t="shared" si="32"/>
        <v>2014.6480502148006</v>
      </c>
      <c r="AQ15" s="31">
        <f t="shared" si="32"/>
        <v>2216.1128552362807</v>
      </c>
      <c r="AR15" s="31">
        <f t="shared" si="32"/>
        <v>2326.9184979980937</v>
      </c>
    </row>
    <row r="16" spans="2:44" s="30" customFormat="1" x14ac:dyDescent="0.2">
      <c r="B16" s="30" t="s">
        <v>96</v>
      </c>
      <c r="R16" s="30">
        <f t="shared" ref="R16:R18" si="33">AG16-SUM(O16:Q16)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34">AH16-SUM(S16:U16)</f>
        <v>0.39200000000000013</v>
      </c>
      <c r="W16" s="30">
        <v>0.624</v>
      </c>
      <c r="X16" s="30">
        <v>1.68</v>
      </c>
      <c r="Y16" s="30">
        <v>6.9320000000000004</v>
      </c>
      <c r="Z16" s="54">
        <f>AVERAGE(V16:Y16)</f>
        <v>2.407</v>
      </c>
      <c r="AB16" s="36"/>
      <c r="AG16" s="30">
        <v>4.569</v>
      </c>
      <c r="AH16" s="30">
        <v>0.92600000000000005</v>
      </c>
      <c r="AI16" s="54">
        <f t="shared" ref="AI16:AI20" si="35">SUM(W16:Z16)</f>
        <v>11.643000000000001</v>
      </c>
      <c r="AJ16" s="30">
        <f>AVERAGE(AG16:AI16)</f>
        <v>5.7126666666666672</v>
      </c>
      <c r="AK16" s="30">
        <f t="shared" ref="AK16:AR16" si="36">AVERAGE(AH16:AJ16)</f>
        <v>6.0938888888888885</v>
      </c>
      <c r="AL16" s="30">
        <f t="shared" si="36"/>
        <v>7.8165185185185182</v>
      </c>
      <c r="AM16" s="30">
        <f t="shared" si="36"/>
        <v>6.5410246913580243</v>
      </c>
      <c r="AN16" s="30">
        <f t="shared" si="36"/>
        <v>6.81714403292181</v>
      </c>
      <c r="AO16" s="30">
        <f t="shared" si="36"/>
        <v>7.0582290809327839</v>
      </c>
      <c r="AP16" s="30">
        <f t="shared" si="36"/>
        <v>6.8054659350708731</v>
      </c>
      <c r="AQ16" s="30">
        <f t="shared" si="36"/>
        <v>6.893613016308489</v>
      </c>
      <c r="AR16" s="30">
        <f t="shared" si="36"/>
        <v>6.9191026774373823</v>
      </c>
    </row>
    <row r="17" spans="2:100" s="30" customFormat="1" x14ac:dyDescent="0.2">
      <c r="B17" s="30" t="s">
        <v>97</v>
      </c>
      <c r="R17" s="30">
        <f t="shared" si="33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34"/>
        <v>7.6989999999999998</v>
      </c>
      <c r="W17" s="30">
        <v>2.4529999999999998</v>
      </c>
      <c r="X17" s="30">
        <v>2.4289999999999998</v>
      </c>
      <c r="Y17" s="30">
        <v>2.4969999999999999</v>
      </c>
      <c r="Z17" s="54">
        <f>AVERAGE(V17:Y17)</f>
        <v>3.7694999999999999</v>
      </c>
      <c r="AG17" s="30">
        <v>56.106999999999999</v>
      </c>
      <c r="AH17" s="30">
        <v>11.316000000000001</v>
      </c>
      <c r="AI17" s="54">
        <f t="shared" si="35"/>
        <v>11.148499999999999</v>
      </c>
      <c r="AJ17" s="30">
        <f t="shared" ref="AJ17:AR17" si="37">AVERAGE(AG17:AI17)</f>
        <v>26.1905</v>
      </c>
      <c r="AK17" s="30">
        <f t="shared" si="37"/>
        <v>16.218333333333334</v>
      </c>
      <c r="AL17" s="30">
        <f t="shared" si="37"/>
        <v>17.852444444444444</v>
      </c>
      <c r="AM17" s="30">
        <f t="shared" si="37"/>
        <v>20.087092592592594</v>
      </c>
      <c r="AN17" s="30">
        <f t="shared" si="37"/>
        <v>18.052623456790126</v>
      </c>
      <c r="AO17" s="30">
        <f t="shared" si="37"/>
        <v>18.66405349794239</v>
      </c>
      <c r="AP17" s="30">
        <f t="shared" si="37"/>
        <v>18.93458984910837</v>
      </c>
      <c r="AQ17" s="30">
        <f t="shared" si="37"/>
        <v>18.550422267946963</v>
      </c>
      <c r="AR17" s="30">
        <f t="shared" si="37"/>
        <v>18.716355204999243</v>
      </c>
    </row>
    <row r="18" spans="2:100" s="30" customFormat="1" x14ac:dyDescent="0.2">
      <c r="B18" s="30" t="s">
        <v>98</v>
      </c>
      <c r="R18" s="30">
        <f t="shared" si="33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34"/>
        <v>-2.1499999999999995</v>
      </c>
      <c r="W18" s="30">
        <v>1.621</v>
      </c>
      <c r="X18" s="30">
        <v>-0.224</v>
      </c>
      <c r="Y18" s="30">
        <v>-1.3180000000000001</v>
      </c>
      <c r="Z18" s="54">
        <f>AVERAGE(V18:Y18)</f>
        <v>-0.51774999999999993</v>
      </c>
      <c r="AG18" s="30">
        <v>-1.851</v>
      </c>
      <c r="AH18" s="30">
        <v>-3.1349999999999998</v>
      </c>
      <c r="AI18" s="54">
        <f t="shared" si="35"/>
        <v>-0.43874999999999997</v>
      </c>
      <c r="AJ18" s="30">
        <f t="shared" ref="AJ18" si="38">AVERAGE(AG18:AI18)</f>
        <v>-1.8082499999999999</v>
      </c>
      <c r="AK18" s="30">
        <f t="shared" ref="AK18" si="39">AVERAGE(AH18:AJ18)</f>
        <v>-1.7939999999999998</v>
      </c>
      <c r="AL18" s="30">
        <f t="shared" ref="AL18" si="40">AVERAGE(AI18:AK18)</f>
        <v>-1.3469999999999998</v>
      </c>
      <c r="AM18" s="30">
        <f t="shared" ref="AM18" si="41">AVERAGE(AJ18:AL18)</f>
        <v>-1.6497499999999998</v>
      </c>
      <c r="AN18" s="30">
        <f t="shared" ref="AN18" si="42">AVERAGE(AK18:AM18)</f>
        <v>-1.5969166666666663</v>
      </c>
      <c r="AO18" s="30">
        <f t="shared" ref="AO18" si="43">AVERAGE(AL18:AN18)</f>
        <v>-1.5312222222222218</v>
      </c>
      <c r="AP18" s="30">
        <f t="shared" ref="AP18" si="44">AVERAGE(AM18:AO18)</f>
        <v>-1.5926296296296292</v>
      </c>
      <c r="AQ18" s="30">
        <f t="shared" ref="AQ18" si="45">AVERAGE(AN18:AP18)</f>
        <v>-1.5735895061728391</v>
      </c>
      <c r="AR18" s="30">
        <f t="shared" ref="AR18" si="46">AVERAGE(AO18:AQ18)</f>
        <v>-1.5658137860082302</v>
      </c>
    </row>
    <row r="19" spans="2:100" s="30" customFormat="1" x14ac:dyDescent="0.2">
      <c r="B19" s="30" t="s">
        <v>99</v>
      </c>
      <c r="R19" s="30">
        <f t="shared" ref="R19:Z19" si="47">R15+R16-R17+R18</f>
        <v>-262.69299999999998</v>
      </c>
      <c r="S19" s="30">
        <f t="shared" si="47"/>
        <v>-65.368000000000023</v>
      </c>
      <c r="T19" s="30">
        <f t="shared" si="47"/>
        <v>-75.594999999999985</v>
      </c>
      <c r="U19" s="30">
        <f t="shared" si="47"/>
        <v>-73.850000000000009</v>
      </c>
      <c r="V19" s="30">
        <f t="shared" si="47"/>
        <v>-88.075999999999979</v>
      </c>
      <c r="W19" s="30">
        <f t="shared" si="47"/>
        <v>-76.147999999999982</v>
      </c>
      <c r="X19" s="30">
        <f t="shared" si="47"/>
        <v>-115.81599999999996</v>
      </c>
      <c r="Y19" s="30">
        <f t="shared" si="47"/>
        <v>-79.806000000000054</v>
      </c>
      <c r="Z19" s="54">
        <f t="shared" si="47"/>
        <v>-91.557574800000012</v>
      </c>
      <c r="AG19" s="30">
        <f>AG15+AG16-AG17+AG18</f>
        <v>-262.69299999999998</v>
      </c>
      <c r="AH19" s="30">
        <f>AH15+AH16-AH17+AH18</f>
        <v>-302.88900000000001</v>
      </c>
      <c r="AI19" s="54">
        <f>AI15+AI16-AI17+AI18</f>
        <v>-363.32757480000009</v>
      </c>
      <c r="AJ19" s="30">
        <f t="shared" ref="AJ19:AR19" si="48">AJ15+AJ16-AJ17+AJ18</f>
        <v>-333.4181281333332</v>
      </c>
      <c r="AK19" s="30">
        <f t="shared" si="48"/>
        <v>-274.43610724444477</v>
      </c>
      <c r="AL19" s="30">
        <f t="shared" si="48"/>
        <v>-133.89116856592634</v>
      </c>
      <c r="AM19" s="30">
        <f t="shared" si="48"/>
        <v>-68.282723045234519</v>
      </c>
      <c r="AN19" s="30">
        <f t="shared" si="48"/>
        <v>783.47118106946482</v>
      </c>
      <c r="AO19" s="30">
        <f t="shared" si="48"/>
        <v>1340.5790345327687</v>
      </c>
      <c r="AP19" s="30">
        <f t="shared" si="48"/>
        <v>2000.9262966711337</v>
      </c>
      <c r="AQ19" s="30">
        <f t="shared" si="48"/>
        <v>2202.8824564784691</v>
      </c>
      <c r="AR19" s="30">
        <f t="shared" si="48"/>
        <v>2313.5554316845237</v>
      </c>
    </row>
    <row r="20" spans="2:100" s="30" customFormat="1" x14ac:dyDescent="0.2">
      <c r="B20" s="30" t="s">
        <v>100</v>
      </c>
      <c r="R20" s="30">
        <f>AG20-SUM(O20:Q20)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34"/>
        <v>1.5659999999999994</v>
      </c>
      <c r="W20" s="30">
        <v>1.1459999999999999</v>
      </c>
      <c r="X20" s="30">
        <v>3.0489999999999999</v>
      </c>
      <c r="Y20" s="30">
        <v>5.0350000000000001</v>
      </c>
      <c r="Z20" s="54">
        <f>Z19*(Z32)</f>
        <v>4.5778787400000009</v>
      </c>
      <c r="AG20" s="30">
        <v>4.2510000000000003</v>
      </c>
      <c r="AH20" s="30">
        <v>3.9769999999999999</v>
      </c>
      <c r="AI20" s="54">
        <f t="shared" si="35"/>
        <v>13.807878740000001</v>
      </c>
      <c r="AJ20" s="30">
        <f>AJ19*AJ32</f>
        <v>16.67090640666666</v>
      </c>
      <c r="AK20" s="30">
        <f t="shared" ref="AK20:AR20" si="49">AK19*AK32</f>
        <v>8.233083217333343</v>
      </c>
      <c r="AL20" s="30">
        <f t="shared" si="49"/>
        <v>2.6778233713185267</v>
      </c>
      <c r="AM20" s="30">
        <f t="shared" si="49"/>
        <v>-3.414136152261726</v>
      </c>
      <c r="AN20" s="30">
        <f t="shared" si="49"/>
        <v>39.173559053473241</v>
      </c>
      <c r="AO20" s="30">
        <f t="shared" si="49"/>
        <v>134.05790345327688</v>
      </c>
      <c r="AP20" s="30">
        <f t="shared" si="49"/>
        <v>200.09262966711339</v>
      </c>
      <c r="AQ20" s="30">
        <f t="shared" si="49"/>
        <v>330.43236847177036</v>
      </c>
      <c r="AR20" s="30">
        <f t="shared" si="49"/>
        <v>347.03331475267856</v>
      </c>
    </row>
    <row r="21" spans="2:100" s="31" customFormat="1" x14ac:dyDescent="0.2">
      <c r="B21" s="31" t="s">
        <v>101</v>
      </c>
      <c r="R21" s="31">
        <f t="shared" ref="R21:Z21" si="50">R19-R20</f>
        <v>-266.94399999999996</v>
      </c>
      <c r="S21" s="31">
        <f t="shared" si="50"/>
        <v>-63.992000000000026</v>
      </c>
      <c r="T21" s="31">
        <f t="shared" si="50"/>
        <v>-77.132999999999981</v>
      </c>
      <c r="U21" s="31">
        <f t="shared" si="50"/>
        <v>-76.099000000000004</v>
      </c>
      <c r="V21" s="31">
        <f t="shared" si="50"/>
        <v>-89.641999999999982</v>
      </c>
      <c r="W21" s="31">
        <f t="shared" si="50"/>
        <v>-77.293999999999983</v>
      </c>
      <c r="X21" s="31">
        <f t="shared" si="50"/>
        <v>-118.86499999999997</v>
      </c>
      <c r="Y21" s="31">
        <f t="shared" si="50"/>
        <v>-84.841000000000051</v>
      </c>
      <c r="Z21" s="52">
        <f t="shared" si="50"/>
        <v>-96.135453540000015</v>
      </c>
      <c r="AG21" s="31">
        <f>AG19-AG20</f>
        <v>-266.94399999999996</v>
      </c>
      <c r="AH21" s="31">
        <f>AH19-AH20</f>
        <v>-306.86599999999999</v>
      </c>
      <c r="AI21" s="52">
        <f>AI19-AI20</f>
        <v>-377.13545354000007</v>
      </c>
      <c r="AJ21" s="31">
        <f t="shared" ref="AJ21:AR21" si="51">AJ19-AJ20</f>
        <v>-350.08903453999983</v>
      </c>
      <c r="AK21" s="31">
        <f t="shared" si="51"/>
        <v>-282.6691904617781</v>
      </c>
      <c r="AL21" s="31">
        <f t="shared" si="51"/>
        <v>-136.56899193724487</v>
      </c>
      <c r="AM21" s="31">
        <f t="shared" si="51"/>
        <v>-64.868586892972786</v>
      </c>
      <c r="AN21" s="31">
        <f t="shared" si="51"/>
        <v>744.29762201599158</v>
      </c>
      <c r="AO21" s="31">
        <f t="shared" si="51"/>
        <v>1206.5211310794919</v>
      </c>
      <c r="AP21" s="31">
        <f t="shared" si="51"/>
        <v>1800.8336670040203</v>
      </c>
      <c r="AQ21" s="31">
        <f t="shared" si="51"/>
        <v>1872.4500880066987</v>
      </c>
      <c r="AR21" s="31">
        <f t="shared" si="51"/>
        <v>1966.5221169318452</v>
      </c>
      <c r="AS21" s="31">
        <f>AR21*(1+$AU$22)</f>
        <v>1946.8568957625266</v>
      </c>
      <c r="AT21" s="31">
        <f t="shared" ref="AT21:CV21" si="52">AS21*(1+$AU$22)</f>
        <v>1927.3883268049012</v>
      </c>
      <c r="AU21" s="31">
        <f t="shared" si="52"/>
        <v>1908.1144435368521</v>
      </c>
      <c r="AV21" s="31">
        <f t="shared" si="52"/>
        <v>1889.0332991014836</v>
      </c>
      <c r="AW21" s="31">
        <f t="shared" si="52"/>
        <v>1870.1429661104687</v>
      </c>
      <c r="AX21" s="31">
        <f t="shared" si="52"/>
        <v>1851.4415364493641</v>
      </c>
      <c r="AY21" s="31">
        <f t="shared" si="52"/>
        <v>1832.9271210848704</v>
      </c>
      <c r="AZ21" s="31">
        <f t="shared" si="52"/>
        <v>1814.5978498740217</v>
      </c>
      <c r="BA21" s="31">
        <f t="shared" si="52"/>
        <v>1796.4518713752814</v>
      </c>
      <c r="BB21" s="31">
        <f t="shared" si="52"/>
        <v>1778.4873526615286</v>
      </c>
      <c r="BC21" s="31">
        <f t="shared" si="52"/>
        <v>1760.7024791349133</v>
      </c>
      <c r="BD21" s="31">
        <f t="shared" si="52"/>
        <v>1743.0954543435641</v>
      </c>
      <c r="BE21" s="31">
        <f t="shared" si="52"/>
        <v>1725.6644998001284</v>
      </c>
      <c r="BF21" s="31">
        <f t="shared" si="52"/>
        <v>1708.4078548021271</v>
      </c>
      <c r="BG21" s="31">
        <f t="shared" si="52"/>
        <v>1691.3237762541057</v>
      </c>
      <c r="BH21" s="31">
        <f t="shared" si="52"/>
        <v>1674.4105384915647</v>
      </c>
      <c r="BI21" s="31">
        <f t="shared" si="52"/>
        <v>1657.666433106649</v>
      </c>
      <c r="BJ21" s="31">
        <f t="shared" si="52"/>
        <v>1641.0897687755826</v>
      </c>
      <c r="BK21" s="31">
        <f t="shared" si="52"/>
        <v>1624.6788710878268</v>
      </c>
      <c r="BL21" s="31">
        <f t="shared" si="52"/>
        <v>1608.4320823769485</v>
      </c>
      <c r="BM21" s="31">
        <f t="shared" si="52"/>
        <v>1592.347761553179</v>
      </c>
      <c r="BN21" s="31">
        <f t="shared" si="52"/>
        <v>1576.4242839376473</v>
      </c>
      <c r="BO21" s="31">
        <f t="shared" si="52"/>
        <v>1560.6600410982708</v>
      </c>
      <c r="BP21" s="31">
        <f t="shared" si="52"/>
        <v>1545.053440687288</v>
      </c>
      <c r="BQ21" s="31">
        <f t="shared" si="52"/>
        <v>1529.602906280415</v>
      </c>
      <c r="BR21" s="31">
        <f t="shared" si="52"/>
        <v>1514.3068772176109</v>
      </c>
      <c r="BS21" s="31">
        <f t="shared" si="52"/>
        <v>1499.1638084454348</v>
      </c>
      <c r="BT21" s="31">
        <f t="shared" si="52"/>
        <v>1484.1721703609805</v>
      </c>
      <c r="BU21" s="31">
        <f t="shared" si="52"/>
        <v>1469.3304486573707</v>
      </c>
      <c r="BV21" s="31">
        <f t="shared" si="52"/>
        <v>1454.637144170797</v>
      </c>
      <c r="BW21" s="31">
        <f t="shared" si="52"/>
        <v>1440.0907727290889</v>
      </c>
      <c r="BX21" s="31">
        <f t="shared" si="52"/>
        <v>1425.6898650017981</v>
      </c>
      <c r="BY21" s="31">
        <f t="shared" si="52"/>
        <v>1411.4329663517801</v>
      </c>
      <c r="BZ21" s="31">
        <f t="shared" si="52"/>
        <v>1397.3186366882624</v>
      </c>
      <c r="CA21" s="31">
        <f t="shared" si="52"/>
        <v>1383.3454503213798</v>
      </c>
      <c r="CB21" s="31">
        <f t="shared" si="52"/>
        <v>1369.511995818166</v>
      </c>
      <c r="CC21" s="31">
        <f t="shared" si="52"/>
        <v>1355.8168758599843</v>
      </c>
      <c r="CD21" s="31">
        <f t="shared" si="52"/>
        <v>1342.2587071013845</v>
      </c>
      <c r="CE21" s="31">
        <f t="shared" si="52"/>
        <v>1328.8361200303707</v>
      </c>
      <c r="CF21" s="31">
        <f t="shared" si="52"/>
        <v>1315.5477588300669</v>
      </c>
      <c r="CG21" s="31">
        <f t="shared" si="52"/>
        <v>1302.3922812417661</v>
      </c>
      <c r="CH21" s="31">
        <f t="shared" si="52"/>
        <v>1289.3683584293485</v>
      </c>
      <c r="CI21" s="31">
        <f t="shared" si="52"/>
        <v>1276.474674845055</v>
      </c>
      <c r="CJ21" s="31">
        <f t="shared" si="52"/>
        <v>1263.7099280966045</v>
      </c>
      <c r="CK21" s="31">
        <f t="shared" si="52"/>
        <v>1251.0728288156383</v>
      </c>
      <c r="CL21" s="31">
        <f t="shared" si="52"/>
        <v>1238.562100527482</v>
      </c>
      <c r="CM21" s="31">
        <f t="shared" si="52"/>
        <v>1226.1764795222073</v>
      </c>
      <c r="CN21" s="31">
        <f t="shared" si="52"/>
        <v>1213.9147147269853</v>
      </c>
      <c r="CO21" s="31">
        <f t="shared" si="52"/>
        <v>1201.7755675797155</v>
      </c>
      <c r="CP21" s="31">
        <f t="shared" si="52"/>
        <v>1189.7578119039183</v>
      </c>
      <c r="CQ21" s="31">
        <f t="shared" si="52"/>
        <v>1177.860233784879</v>
      </c>
      <c r="CR21" s="31">
        <f t="shared" si="52"/>
        <v>1166.0816314470303</v>
      </c>
      <c r="CS21" s="31">
        <f t="shared" si="52"/>
        <v>1154.4208151325599</v>
      </c>
      <c r="CT21" s="31">
        <f t="shared" si="52"/>
        <v>1142.8766069812343</v>
      </c>
      <c r="CU21" s="31">
        <f t="shared" si="52"/>
        <v>1131.447840911422</v>
      </c>
      <c r="CV21" s="31">
        <f t="shared" si="52"/>
        <v>1120.1333625023078</v>
      </c>
    </row>
    <row r="22" spans="2:100" s="36" customFormat="1" x14ac:dyDescent="0.2">
      <c r="B22" s="36" t="s">
        <v>102</v>
      </c>
      <c r="R22" s="36">
        <f t="shared" ref="R22:Z22" si="53">R21/R23</f>
        <v>-4.525655542249635</v>
      </c>
      <c r="S22" s="36">
        <f t="shared" si="53"/>
        <v>-1.0428660106545344</v>
      </c>
      <c r="T22" s="36">
        <f t="shared" si="53"/>
        <v>-1.2160968061806907</v>
      </c>
      <c r="U22" s="36">
        <f t="shared" si="53"/>
        <v>-1.1463044248881236</v>
      </c>
      <c r="V22" s="36">
        <f t="shared" si="53"/>
        <v>-1.3884416085043834</v>
      </c>
      <c r="W22" s="36">
        <f t="shared" si="53"/>
        <v>-1.1416038004739926</v>
      </c>
      <c r="X22" s="36">
        <f t="shared" si="53"/>
        <v>-1.739459023195089</v>
      </c>
      <c r="Y22" s="36">
        <f t="shared" si="53"/>
        <v>-1.2310638914773968</v>
      </c>
      <c r="Z22" s="55">
        <f t="shared" si="53"/>
        <v>-1.3949492055008406</v>
      </c>
      <c r="AG22" s="36">
        <f>AG21/AG23</f>
        <v>-4.525655542249635</v>
      </c>
      <c r="AH22" s="36">
        <f>AH21/AH23</f>
        <v>-4.7529676115582671</v>
      </c>
      <c r="AI22" s="55">
        <f>AI21/AI23</f>
        <v>-5.4723286977881589</v>
      </c>
      <c r="AJ22" s="36">
        <f t="shared" ref="AJ22:AR22" si="54">AJ21/AJ23</f>
        <v>-5.0798784694237069</v>
      </c>
      <c r="AK22" s="36">
        <f t="shared" si="54"/>
        <v>-4.1015998586843834</v>
      </c>
      <c r="AL22" s="36">
        <f t="shared" si="54"/>
        <v>-1.9816498470009758</v>
      </c>
      <c r="AM22" s="36">
        <f t="shared" si="54"/>
        <v>-0.94125923804649503</v>
      </c>
      <c r="AN22" s="36">
        <f t="shared" si="54"/>
        <v>10.799942562869115</v>
      </c>
      <c r="AO22" s="36">
        <f t="shared" si="54"/>
        <v>17.506919988878355</v>
      </c>
      <c r="AP22" s="36">
        <f t="shared" si="54"/>
        <v>26.130541860721564</v>
      </c>
      <c r="AQ22" s="36">
        <f t="shared" si="54"/>
        <v>27.169713840462972</v>
      </c>
      <c r="AR22" s="36">
        <f t="shared" si="54"/>
        <v>28.534722244510132</v>
      </c>
      <c r="AT22" s="61" t="s">
        <v>145</v>
      </c>
      <c r="AU22" s="68">
        <v>-0.01</v>
      </c>
    </row>
    <row r="23" spans="2:100" s="30" customFormat="1" x14ac:dyDescent="0.2">
      <c r="B23" s="30" t="s">
        <v>3</v>
      </c>
      <c r="R23" s="30">
        <f>AG23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AH23</f>
        <v>64.563032000000007</v>
      </c>
      <c r="W23" s="30">
        <v>67.706502</v>
      </c>
      <c r="X23" s="30">
        <v>68.334463999999997</v>
      </c>
      <c r="Y23" s="30">
        <v>68.916813000000005</v>
      </c>
      <c r="Z23" s="54">
        <f>Y23</f>
        <v>68.916813000000005</v>
      </c>
      <c r="AG23" s="30">
        <v>58.984603999999997</v>
      </c>
      <c r="AH23" s="30">
        <v>64.563032000000007</v>
      </c>
      <c r="AI23" s="54">
        <f>Z23</f>
        <v>68.916813000000005</v>
      </c>
      <c r="AJ23" s="30">
        <f>AI23</f>
        <v>68.916813000000005</v>
      </c>
      <c r="AK23" s="30">
        <f t="shared" ref="AK23:AR23" si="55">AJ23</f>
        <v>68.916813000000005</v>
      </c>
      <c r="AL23" s="30">
        <f t="shared" si="55"/>
        <v>68.916813000000005</v>
      </c>
      <c r="AM23" s="30">
        <f t="shared" si="55"/>
        <v>68.916813000000005</v>
      </c>
      <c r="AN23" s="30">
        <f t="shared" si="55"/>
        <v>68.916813000000005</v>
      </c>
      <c r="AO23" s="30">
        <f t="shared" si="55"/>
        <v>68.916813000000005</v>
      </c>
      <c r="AP23" s="30">
        <f t="shared" si="55"/>
        <v>68.916813000000005</v>
      </c>
      <c r="AQ23" s="30">
        <f t="shared" si="55"/>
        <v>68.916813000000005</v>
      </c>
      <c r="AR23" s="30">
        <f t="shared" si="55"/>
        <v>68.916813000000005</v>
      </c>
      <c r="AT23" s="62" t="s">
        <v>146</v>
      </c>
      <c r="AU23" s="69">
        <v>0.08</v>
      </c>
    </row>
    <row r="24" spans="2:100" s="30" customFormat="1" x14ac:dyDescent="0.2">
      <c r="Z24" s="54"/>
      <c r="AI24" s="54"/>
      <c r="AT24" s="62" t="s">
        <v>147</v>
      </c>
      <c r="AU24" s="63">
        <f>NPV(AU23,AI21:CV21)</f>
        <v>12918.266444642399</v>
      </c>
    </row>
    <row r="25" spans="2:100" x14ac:dyDescent="0.2">
      <c r="AT25" s="64" t="s">
        <v>7</v>
      </c>
      <c r="AU25" s="65">
        <f>Main!C11</f>
        <v>648.49</v>
      </c>
    </row>
    <row r="26" spans="2:100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:Z26" si="56">Y6/U6-1</f>
        <v>0.47038912615197459</v>
      </c>
      <c r="Z26" s="60">
        <f t="shared" si="56"/>
        <v>0.40211607015542561</v>
      </c>
      <c r="AH26" s="32">
        <f>AH6/AG6-1</f>
        <v>0.48003319895660423</v>
      </c>
      <c r="AI26" s="60">
        <f>AI6/AH6-1</f>
        <v>0.48364640150518068</v>
      </c>
      <c r="AJ26" s="32">
        <v>0.5</v>
      </c>
      <c r="AK26" s="32">
        <v>0.5</v>
      </c>
      <c r="AL26" s="32">
        <v>0.4</v>
      </c>
      <c r="AM26" s="32">
        <v>0.3</v>
      </c>
      <c r="AN26" s="32">
        <v>0.25</v>
      </c>
      <c r="AO26" s="32">
        <v>0.2</v>
      </c>
      <c r="AP26" s="32">
        <v>0.15</v>
      </c>
      <c r="AQ26" s="32">
        <v>0.1</v>
      </c>
      <c r="AR26" s="32">
        <v>0.05</v>
      </c>
      <c r="AT26" s="64" t="s">
        <v>148</v>
      </c>
      <c r="AU26" s="63">
        <f>AU24-AU25</f>
        <v>12269.776444642399</v>
      </c>
    </row>
    <row r="27" spans="2:100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57">V6/U6-1</f>
        <v>0.17453601477348357</v>
      </c>
      <c r="W27" s="33">
        <f t="shared" si="57"/>
        <v>7.1119800070545525E-2</v>
      </c>
      <c r="X27" s="33">
        <f>X6/W6-1</f>
        <v>6.3805189755015812E-2</v>
      </c>
      <c r="Y27" s="33">
        <f t="shared" ref="Y27" si="58">Y6/X6-1</f>
        <v>9.8666271487848123E-2</v>
      </c>
      <c r="Z27" s="56">
        <v>0.12</v>
      </c>
      <c r="AD27" s="21" t="s">
        <v>142</v>
      </c>
      <c r="AE27" s="21" t="s">
        <v>142</v>
      </c>
      <c r="AF27" s="21" t="s">
        <v>142</v>
      </c>
      <c r="AG27" s="21" t="s">
        <v>142</v>
      </c>
      <c r="AH27" s="21" t="s">
        <v>142</v>
      </c>
      <c r="AT27" s="3" t="s">
        <v>149</v>
      </c>
      <c r="AU27" s="70">
        <f>AU26/Main!C7</f>
        <v>178.03749057058687</v>
      </c>
    </row>
    <row r="28" spans="2:100" x14ac:dyDescent="0.2">
      <c r="AT28" s="64" t="s">
        <v>150</v>
      </c>
      <c r="AU28" s="65">
        <f>Main!C6</f>
        <v>191.75</v>
      </c>
    </row>
    <row r="29" spans="2:100" s="33" customFormat="1" x14ac:dyDescent="0.2">
      <c r="B29" s="33" t="s">
        <v>85</v>
      </c>
      <c r="S29" s="33">
        <f>S10/S6</f>
        <v>0.69981502686514585</v>
      </c>
      <c r="T29" s="33">
        <f t="shared" ref="T29" si="59">T10/T6</f>
        <v>0.69457652190976471</v>
      </c>
      <c r="U29" s="33">
        <f>U10/U6</f>
        <v>0.69825424318952101</v>
      </c>
      <c r="V29" s="33">
        <f t="shared" ref="V29" si="60">V10/V6</f>
        <v>0.71557333373359255</v>
      </c>
      <c r="W29" s="33">
        <f>W10/W6</f>
        <v>0.72599116473460923</v>
      </c>
      <c r="X29" s="33">
        <f t="shared" ref="X29:Y29" si="61">X10/X6</f>
        <v>0.70928999538958049</v>
      </c>
      <c r="Y29" s="33">
        <f t="shared" si="61"/>
        <v>0.71928625596110563</v>
      </c>
      <c r="Z29" s="56">
        <v>0.72</v>
      </c>
      <c r="AG29" s="33">
        <f t="shared" ref="AG29:AH29" si="62">AG10/AG6</f>
        <v>0.7000643653240286</v>
      </c>
      <c r="AH29" s="33">
        <f t="shared" si="62"/>
        <v>0.703024324144924</v>
      </c>
      <c r="AI29" s="56">
        <f t="shared" ref="AI29" si="63">AI10/AI6</f>
        <v>0.71862682611084105</v>
      </c>
      <c r="AJ29" s="33">
        <v>0.72</v>
      </c>
      <c r="AK29" s="33">
        <v>0.72</v>
      </c>
      <c r="AL29" s="33">
        <v>0.72</v>
      </c>
      <c r="AM29" s="33">
        <v>0.72</v>
      </c>
      <c r="AN29" s="33">
        <v>0.72</v>
      </c>
      <c r="AO29" s="33">
        <v>0.72</v>
      </c>
      <c r="AP29" s="33">
        <v>0.72</v>
      </c>
      <c r="AQ29" s="33">
        <v>0.72</v>
      </c>
      <c r="AR29" s="33">
        <v>0.72</v>
      </c>
      <c r="AT29" s="66" t="s">
        <v>151</v>
      </c>
      <c r="AU29" s="67">
        <f>AU27/AU28-1</f>
        <v>-7.1512435094722937E-2</v>
      </c>
    </row>
    <row r="30" spans="2:100" s="33" customFormat="1" x14ac:dyDescent="0.2">
      <c r="B30" s="33" t="s">
        <v>86</v>
      </c>
      <c r="S30" s="33">
        <f>S15/S6</f>
        <v>-0.33826962036466146</v>
      </c>
      <c r="T30" s="33">
        <f t="shared" ref="T30" si="64">T15/T6</f>
        <v>-0.3649413576053977</v>
      </c>
      <c r="U30" s="33">
        <f>U15/U6</f>
        <v>-0.33834450600062582</v>
      </c>
      <c r="V30" s="33">
        <f t="shared" ref="V30" si="65">V15/V6</f>
        <v>-0.29501227044511308</v>
      </c>
      <c r="W30" s="33">
        <f>W15/W6</f>
        <v>-0.26603887937165205</v>
      </c>
      <c r="X30" s="33">
        <f t="shared" ref="X30:Z30" si="66">X15/X6</f>
        <v>-0.37819600869393383</v>
      </c>
      <c r="Y30" s="33">
        <f t="shared" si="66"/>
        <v>-0.24855449746868472</v>
      </c>
      <c r="Z30" s="56">
        <f t="shared" si="66"/>
        <v>-0.24000000000000002</v>
      </c>
      <c r="AG30" s="33">
        <f t="shared" ref="AG30:AH30" si="67">AG15/AG6</f>
        <v>-0.35452420474948332</v>
      </c>
      <c r="AH30" s="33">
        <f t="shared" si="67"/>
        <v>-0.33116269275402793</v>
      </c>
      <c r="AI30" s="56">
        <f t="shared" ref="AI30" si="68">AI15/AI6</f>
        <v>-0.2803054182607938</v>
      </c>
    </row>
    <row r="31" spans="2:100" s="33" customFormat="1" x14ac:dyDescent="0.2">
      <c r="B31" s="33" t="s">
        <v>87</v>
      </c>
      <c r="S31" s="33">
        <f>S21/S6</f>
        <v>-0.35228573945212732</v>
      </c>
      <c r="T31" s="33">
        <f t="shared" ref="T31" si="69">T21/T6</f>
        <v>-0.38809642409696737</v>
      </c>
      <c r="U31" s="33">
        <f>U21/U6</f>
        <v>-0.33539597960272022</v>
      </c>
      <c r="V31" s="33">
        <f t="shared" ref="V31" si="70">V21/V6</f>
        <v>-0.336375303008698</v>
      </c>
      <c r="W31" s="33">
        <f>W21/W6</f>
        <v>-0.27078231685742005</v>
      </c>
      <c r="X31" s="33">
        <f t="shared" ref="X31:Z31" si="71">X21/X6</f>
        <v>-0.39144108542448774</v>
      </c>
      <c r="Y31" s="33">
        <f t="shared" si="71"/>
        <v>-0.2543035360483904</v>
      </c>
      <c r="Z31" s="56">
        <f t="shared" si="71"/>
        <v>-0.2572836433407969</v>
      </c>
      <c r="AG31" s="33">
        <f t="shared" ref="AG31:AH31" si="72">AG21/AG6</f>
        <v>-0.45215623835495777</v>
      </c>
      <c r="AH31" s="33">
        <f t="shared" si="72"/>
        <v>-0.35119286046176273</v>
      </c>
      <c r="AI31" s="56">
        <f t="shared" ref="AI31" si="73">AI21/AI6</f>
        <v>-0.29091348950501938</v>
      </c>
    </row>
    <row r="32" spans="2:100" s="33" customFormat="1" x14ac:dyDescent="0.2">
      <c r="B32" s="33" t="s">
        <v>88</v>
      </c>
      <c r="S32" s="33">
        <f>S20/S19</f>
        <v>2.1050055072818496E-2</v>
      </c>
      <c r="T32" s="33">
        <f t="shared" ref="T32" si="74">T20/T19</f>
        <v>-2.0345260929955689E-2</v>
      </c>
      <c r="U32" s="33">
        <f>U20/U19</f>
        <v>-3.0453622207176706E-2</v>
      </c>
      <c r="V32" s="33">
        <f t="shared" ref="V32" si="75">V20/V19</f>
        <v>-1.7780099005404421E-2</v>
      </c>
      <c r="W32" s="33">
        <f>W20/W19</f>
        <v>-1.5049640174397229E-2</v>
      </c>
      <c r="X32" s="33">
        <f t="shared" ref="X32:Y32" si="76">X20/X19</f>
        <v>-2.6326241624645998E-2</v>
      </c>
      <c r="Y32" s="33">
        <f t="shared" si="76"/>
        <v>-6.3090494449038872E-2</v>
      </c>
      <c r="Z32" s="56">
        <v>-0.05</v>
      </c>
      <c r="AG32" s="33">
        <f t="shared" ref="AG32:AH32" si="77">AG20/AG19</f>
        <v>-1.6182387806298611E-2</v>
      </c>
      <c r="AH32" s="33">
        <f t="shared" si="77"/>
        <v>-1.3130222622809015E-2</v>
      </c>
      <c r="AI32" s="56">
        <f t="shared" ref="AI32" si="78">AI20/AI19</f>
        <v>-3.8003938312694226E-2</v>
      </c>
      <c r="AJ32" s="33">
        <v>-0.05</v>
      </c>
      <c r="AK32" s="33">
        <v>-0.03</v>
      </c>
      <c r="AL32" s="33">
        <v>-0.02</v>
      </c>
      <c r="AM32" s="33">
        <v>0.05</v>
      </c>
      <c r="AN32" s="33">
        <v>0.05</v>
      </c>
      <c r="AO32" s="33">
        <v>0.1</v>
      </c>
      <c r="AP32" s="33">
        <v>0.1</v>
      </c>
      <c r="AQ32" s="33">
        <v>0.15</v>
      </c>
      <c r="AR32" s="33">
        <v>0.15</v>
      </c>
    </row>
    <row r="33" spans="2:35" s="33" customFormat="1" x14ac:dyDescent="0.2">
      <c r="Z33" s="56"/>
      <c r="AI33" s="56"/>
    </row>
    <row r="34" spans="2:35" s="33" customFormat="1" x14ac:dyDescent="0.2">
      <c r="B34" s="83" t="s">
        <v>157</v>
      </c>
      <c r="Z34" s="56"/>
      <c r="AI34" s="56"/>
    </row>
    <row r="35" spans="2:35" s="84" customFormat="1" x14ac:dyDescent="0.2">
      <c r="B35" s="84" t="s">
        <v>158</v>
      </c>
      <c r="Z35" s="85"/>
      <c r="AH35" s="84">
        <v>3544</v>
      </c>
      <c r="AI35" s="85"/>
    </row>
    <row r="39" spans="2:35" x14ac:dyDescent="0.2">
      <c r="B39" s="37" t="s">
        <v>103</v>
      </c>
    </row>
    <row r="40" spans="2:35" s="2" customFormat="1" x14ac:dyDescent="0.2">
      <c r="B40" s="2" t="s">
        <v>5</v>
      </c>
      <c r="V40" s="31">
        <v>473.904</v>
      </c>
      <c r="W40" s="31">
        <v>456.27499999999998</v>
      </c>
      <c r="X40" s="31">
        <v>651.41999999999996</v>
      </c>
      <c r="Y40" s="31">
        <v>999.67399999999998</v>
      </c>
      <c r="Z40" s="53"/>
      <c r="AG40" s="31">
        <v>429.697</v>
      </c>
      <c r="AH40" s="31">
        <f>V40</f>
        <v>473.904</v>
      </c>
      <c r="AI40" s="52"/>
    </row>
    <row r="41" spans="2:35" s="2" customFormat="1" x14ac:dyDescent="0.2">
      <c r="B41" s="2" t="s">
        <v>104</v>
      </c>
      <c r="V41" s="31">
        <v>1352.019</v>
      </c>
      <c r="W41" s="31">
        <v>1372.42</v>
      </c>
      <c r="X41" s="31">
        <v>1144.192</v>
      </c>
      <c r="Y41" s="31">
        <v>787.85799999999995</v>
      </c>
      <c r="Z41" s="53"/>
      <c r="AG41" s="31">
        <v>528.04499999999996</v>
      </c>
      <c r="AH41" s="31">
        <f>V41</f>
        <v>1352.019</v>
      </c>
      <c r="AI41" s="52"/>
    </row>
    <row r="42" spans="2:35" x14ac:dyDescent="0.2">
      <c r="B42" s="1" t="s">
        <v>105</v>
      </c>
      <c r="V42" s="30">
        <v>195.38300000000001</v>
      </c>
      <c r="W42" s="30">
        <v>164.88499999999999</v>
      </c>
      <c r="X42" s="30">
        <v>213.267</v>
      </c>
      <c r="Y42" s="30">
        <v>231.26</v>
      </c>
      <c r="AG42" s="30">
        <v>135.17599999999999</v>
      </c>
      <c r="AH42" s="30">
        <f>V42</f>
        <v>195.38300000000001</v>
      </c>
    </row>
    <row r="43" spans="2:35" x14ac:dyDescent="0.2">
      <c r="B43" s="1" t="s">
        <v>106</v>
      </c>
      <c r="V43" s="30">
        <v>63.523000000000003</v>
      </c>
      <c r="W43" s="30">
        <v>66.754000000000005</v>
      </c>
      <c r="X43" s="30">
        <v>72.069000000000003</v>
      </c>
      <c r="Y43" s="30">
        <v>77.445999999999998</v>
      </c>
      <c r="AG43" s="30">
        <v>36.619</v>
      </c>
      <c r="AH43" s="30">
        <f t="shared" ref="AH43:AH50" si="79">V43</f>
        <v>63.523000000000003</v>
      </c>
    </row>
    <row r="44" spans="2:35" x14ac:dyDescent="0.2">
      <c r="B44" s="1" t="s">
        <v>107</v>
      </c>
      <c r="V44" s="30">
        <v>32.573</v>
      </c>
      <c r="W44" s="30">
        <v>35.972999999999999</v>
      </c>
      <c r="X44" s="30">
        <v>27.565999999999999</v>
      </c>
      <c r="Y44" s="30">
        <v>26.016999999999999</v>
      </c>
      <c r="AG44" s="30">
        <v>12.35</v>
      </c>
      <c r="AH44" s="30">
        <f t="shared" si="79"/>
        <v>32.573</v>
      </c>
    </row>
    <row r="45" spans="2:35" x14ac:dyDescent="0.2">
      <c r="B45" s="1" t="s">
        <v>108</v>
      </c>
      <c r="C45" s="30">
        <f t="shared" ref="C45:V45" si="80">SUM(C40:C44)</f>
        <v>0</v>
      </c>
      <c r="D45" s="30">
        <f t="shared" si="80"/>
        <v>0</v>
      </c>
      <c r="E45" s="30">
        <f t="shared" si="80"/>
        <v>0</v>
      </c>
      <c r="F45" s="30">
        <f t="shared" si="80"/>
        <v>0</v>
      </c>
      <c r="G45" s="30">
        <f t="shared" si="80"/>
        <v>0</v>
      </c>
      <c r="H45" s="30">
        <f t="shared" si="80"/>
        <v>0</v>
      </c>
      <c r="I45" s="30">
        <f t="shared" si="80"/>
        <v>0</v>
      </c>
      <c r="J45" s="30">
        <f t="shared" si="80"/>
        <v>0</v>
      </c>
      <c r="K45" s="30">
        <f t="shared" si="80"/>
        <v>0</v>
      </c>
      <c r="L45" s="30">
        <f t="shared" si="80"/>
        <v>0</v>
      </c>
      <c r="M45" s="30">
        <f t="shared" si="80"/>
        <v>0</v>
      </c>
      <c r="N45" s="30">
        <f t="shared" si="80"/>
        <v>0</v>
      </c>
      <c r="O45" s="30">
        <f t="shared" si="80"/>
        <v>0</v>
      </c>
      <c r="P45" s="30">
        <f t="shared" si="80"/>
        <v>0</v>
      </c>
      <c r="Q45" s="30">
        <f t="shared" si="80"/>
        <v>0</v>
      </c>
      <c r="R45" s="30">
        <f t="shared" si="80"/>
        <v>0</v>
      </c>
      <c r="S45" s="30">
        <f t="shared" si="80"/>
        <v>0</v>
      </c>
      <c r="T45" s="30">
        <f t="shared" si="80"/>
        <v>0</v>
      </c>
      <c r="U45" s="30">
        <f t="shared" si="80"/>
        <v>0</v>
      </c>
      <c r="V45" s="30">
        <f t="shared" si="80"/>
        <v>2117.402</v>
      </c>
      <c r="W45" s="30">
        <f>SUM(W40:W44)</f>
        <v>2096.3070000000002</v>
      </c>
      <c r="X45" s="30">
        <f t="shared" ref="X45:Y45" si="81">SUM(X40:X44)</f>
        <v>2108.5140000000001</v>
      </c>
      <c r="Y45" s="30">
        <f t="shared" si="81"/>
        <v>2122.2549999999997</v>
      </c>
      <c r="AG45" s="30">
        <f t="shared" ref="AG45:AH45" si="82">SUM(AG40:AG44)</f>
        <v>1141.8869999999997</v>
      </c>
      <c r="AH45" s="30">
        <f t="shared" si="82"/>
        <v>2117.402</v>
      </c>
    </row>
    <row r="46" spans="2:35" x14ac:dyDescent="0.2">
      <c r="B46" s="1" t="s">
        <v>109</v>
      </c>
      <c r="V46" s="30">
        <v>62.625</v>
      </c>
      <c r="W46" s="30">
        <v>62.761000000000003</v>
      </c>
      <c r="X46" s="30">
        <v>61.603999999999999</v>
      </c>
      <c r="Y46" s="30">
        <v>59.488999999999997</v>
      </c>
      <c r="AG46" s="30">
        <v>62.363999999999997</v>
      </c>
      <c r="AH46" s="30">
        <f t="shared" si="79"/>
        <v>62.625</v>
      </c>
    </row>
    <row r="47" spans="2:35" x14ac:dyDescent="0.2">
      <c r="B47" s="1" t="s">
        <v>110</v>
      </c>
      <c r="V47" s="30">
        <v>41.744999999999997</v>
      </c>
      <c r="W47" s="30">
        <v>45.247999999999998</v>
      </c>
      <c r="X47" s="30">
        <v>46.417999999999999</v>
      </c>
      <c r="Y47" s="30">
        <v>43.484999999999999</v>
      </c>
      <c r="AG47" s="30">
        <v>34.587000000000003</v>
      </c>
      <c r="AH47" s="30">
        <f t="shared" si="79"/>
        <v>41.744999999999997</v>
      </c>
    </row>
    <row r="48" spans="2:35" x14ac:dyDescent="0.2">
      <c r="B48" s="1" t="s">
        <v>111</v>
      </c>
      <c r="V48" s="30">
        <f>57.775+20.608</f>
        <v>78.382999999999996</v>
      </c>
      <c r="W48" s="30">
        <f>57.775+18.313</f>
        <v>76.087999999999994</v>
      </c>
      <c r="X48" s="30">
        <f>16.018+57.779</f>
        <v>73.796999999999997</v>
      </c>
      <c r="Y48" s="30">
        <f>57.779+13.723</f>
        <v>71.50200000000001</v>
      </c>
      <c r="AG48" s="30">
        <f>55.83+26.275</f>
        <v>82.10499999999999</v>
      </c>
      <c r="AH48" s="30">
        <f t="shared" si="79"/>
        <v>78.382999999999996</v>
      </c>
    </row>
    <row r="49" spans="2:35" x14ac:dyDescent="0.2">
      <c r="B49" s="1" t="s">
        <v>112</v>
      </c>
      <c r="V49" s="30">
        <v>1.9390000000000001</v>
      </c>
      <c r="W49" s="30">
        <v>1.9630000000000001</v>
      </c>
      <c r="X49" s="30">
        <v>2.1629999999999998</v>
      </c>
      <c r="Y49" s="30">
        <v>1.657</v>
      </c>
      <c r="AG49" s="30">
        <v>0.997</v>
      </c>
      <c r="AH49" s="30">
        <f t="shared" si="79"/>
        <v>1.9390000000000001</v>
      </c>
    </row>
    <row r="50" spans="2:35" x14ac:dyDescent="0.2">
      <c r="B50" s="1" t="s">
        <v>113</v>
      </c>
      <c r="V50" s="30">
        <v>147.494</v>
      </c>
      <c r="W50" s="30">
        <v>152.17400000000001</v>
      </c>
      <c r="X50" s="30">
        <v>159.102</v>
      </c>
      <c r="Y50" s="30">
        <v>168.798</v>
      </c>
      <c r="AG50" s="30">
        <v>85.555000000000007</v>
      </c>
      <c r="AH50" s="30">
        <f t="shared" si="79"/>
        <v>147.494</v>
      </c>
    </row>
    <row r="51" spans="2:35" x14ac:dyDescent="0.2">
      <c r="B51" s="1" t="s">
        <v>114</v>
      </c>
      <c r="C51" s="30">
        <f t="shared" ref="C51:V51" si="83">C45+SUM(C46:C50)</f>
        <v>0</v>
      </c>
      <c r="D51" s="30">
        <f t="shared" si="83"/>
        <v>0</v>
      </c>
      <c r="E51" s="30">
        <f t="shared" si="83"/>
        <v>0</v>
      </c>
      <c r="F51" s="30">
        <f t="shared" si="83"/>
        <v>0</v>
      </c>
      <c r="G51" s="30">
        <f t="shared" si="83"/>
        <v>0</v>
      </c>
      <c r="H51" s="30">
        <f t="shared" si="83"/>
        <v>0</v>
      </c>
      <c r="I51" s="30">
        <f t="shared" si="83"/>
        <v>0</v>
      </c>
      <c r="J51" s="30">
        <f t="shared" si="83"/>
        <v>0</v>
      </c>
      <c r="K51" s="30">
        <f t="shared" si="83"/>
        <v>0</v>
      </c>
      <c r="L51" s="30">
        <f t="shared" si="83"/>
        <v>0</v>
      </c>
      <c r="M51" s="30">
        <f t="shared" si="83"/>
        <v>0</v>
      </c>
      <c r="N51" s="30">
        <f t="shared" si="83"/>
        <v>0</v>
      </c>
      <c r="O51" s="30">
        <f t="shared" si="83"/>
        <v>0</v>
      </c>
      <c r="P51" s="30">
        <f t="shared" si="83"/>
        <v>0</v>
      </c>
      <c r="Q51" s="30">
        <f t="shared" si="83"/>
        <v>0</v>
      </c>
      <c r="R51" s="30">
        <f t="shared" si="83"/>
        <v>0</v>
      </c>
      <c r="S51" s="30">
        <f t="shared" si="83"/>
        <v>0</v>
      </c>
      <c r="T51" s="30">
        <f t="shared" si="83"/>
        <v>0</v>
      </c>
      <c r="U51" s="30">
        <f t="shared" si="83"/>
        <v>0</v>
      </c>
      <c r="V51" s="30">
        <f t="shared" si="83"/>
        <v>2449.5880000000002</v>
      </c>
      <c r="W51" s="30">
        <f>W45+SUM(W46:W50)</f>
        <v>2434.5410000000002</v>
      </c>
      <c r="X51" s="30">
        <f>X45+SUM(X46:X50)</f>
        <v>2451.598</v>
      </c>
      <c r="Y51" s="30">
        <f>Y45+SUM(Y46:Y50)</f>
        <v>2467.1859999999997</v>
      </c>
      <c r="AG51" s="30">
        <f>AG45+SUM(AG46:AG50)</f>
        <v>1407.4949999999997</v>
      </c>
      <c r="AH51" s="30">
        <f>AH45+SUM(AH46:AH50)</f>
        <v>2449.5880000000002</v>
      </c>
    </row>
    <row r="53" spans="2:35" x14ac:dyDescent="0.2">
      <c r="B53" s="1" t="s">
        <v>115</v>
      </c>
      <c r="V53" s="30">
        <v>5.234</v>
      </c>
      <c r="W53" s="30">
        <v>6.2039999999999997</v>
      </c>
      <c r="X53" s="30">
        <v>7.3029999999999999</v>
      </c>
      <c r="Y53" s="30">
        <v>7.734</v>
      </c>
      <c r="AG53" s="30">
        <v>4.1440000000000001</v>
      </c>
      <c r="AH53" s="30">
        <f>V53</f>
        <v>5.234</v>
      </c>
    </row>
    <row r="54" spans="2:35" x14ac:dyDescent="0.2">
      <c r="B54" s="1" t="s">
        <v>116</v>
      </c>
      <c r="V54" s="30">
        <v>112.568</v>
      </c>
      <c r="W54" s="30">
        <v>87.716999999999999</v>
      </c>
      <c r="X54" s="30">
        <v>83.805999999999997</v>
      </c>
      <c r="Y54" s="30">
        <v>84.442999999999998</v>
      </c>
      <c r="AG54" s="30">
        <v>70.209999999999994</v>
      </c>
      <c r="AH54" s="30">
        <f t="shared" ref="AH54:AH57" si="84">V54</f>
        <v>112.568</v>
      </c>
    </row>
    <row r="55" spans="2:35" x14ac:dyDescent="0.2">
      <c r="B55" s="1" t="s">
        <v>117</v>
      </c>
      <c r="V55" s="30">
        <v>8.0839999999999996</v>
      </c>
      <c r="W55" s="30">
        <v>8.6709999999999994</v>
      </c>
      <c r="X55" s="30">
        <v>9.1630000000000003</v>
      </c>
      <c r="Y55" s="30">
        <v>8.6449999999999996</v>
      </c>
      <c r="AG55" s="30">
        <v>2.343</v>
      </c>
      <c r="AH55" s="30">
        <f t="shared" si="84"/>
        <v>8.0839999999999996</v>
      </c>
    </row>
    <row r="56" spans="2:35" x14ac:dyDescent="0.2">
      <c r="B56" s="1" t="s">
        <v>118</v>
      </c>
      <c r="V56" s="30">
        <v>48.847999999999999</v>
      </c>
      <c r="W56" s="30">
        <v>49.216000000000001</v>
      </c>
      <c r="X56" s="30">
        <v>73.915999999999997</v>
      </c>
      <c r="Y56" s="30">
        <v>52.826000000000001</v>
      </c>
      <c r="AG56" s="30">
        <v>56.44</v>
      </c>
      <c r="AH56" s="30">
        <f t="shared" si="84"/>
        <v>48.847999999999999</v>
      </c>
    </row>
    <row r="57" spans="2:35" x14ac:dyDescent="0.2">
      <c r="B57" s="1" t="s">
        <v>119</v>
      </c>
      <c r="V57" s="30">
        <v>352.00099999999998</v>
      </c>
      <c r="W57" s="30">
        <v>351.91399999999999</v>
      </c>
      <c r="X57" s="30">
        <v>350.709</v>
      </c>
      <c r="Y57" s="30">
        <v>364.15899999999999</v>
      </c>
      <c r="AG57" s="30">
        <v>221.404</v>
      </c>
      <c r="AH57" s="30">
        <f t="shared" si="84"/>
        <v>352.00099999999998</v>
      </c>
    </row>
    <row r="58" spans="2:35" x14ac:dyDescent="0.2">
      <c r="B58" s="1" t="s">
        <v>120</v>
      </c>
      <c r="C58" s="30">
        <f t="shared" ref="C58:V58" si="85">SUM(C53:C57)</f>
        <v>0</v>
      </c>
      <c r="D58" s="30">
        <f t="shared" si="85"/>
        <v>0</v>
      </c>
      <c r="E58" s="30">
        <f t="shared" si="85"/>
        <v>0</v>
      </c>
      <c r="F58" s="30">
        <f t="shared" si="85"/>
        <v>0</v>
      </c>
      <c r="G58" s="30">
        <f t="shared" si="85"/>
        <v>0</v>
      </c>
      <c r="H58" s="30">
        <f t="shared" si="85"/>
        <v>0</v>
      </c>
      <c r="I58" s="30">
        <f t="shared" si="85"/>
        <v>0</v>
      </c>
      <c r="J58" s="30">
        <f t="shared" si="85"/>
        <v>0</v>
      </c>
      <c r="K58" s="30">
        <f t="shared" si="85"/>
        <v>0</v>
      </c>
      <c r="L58" s="30">
        <f t="shared" si="85"/>
        <v>0</v>
      </c>
      <c r="M58" s="30">
        <f t="shared" si="85"/>
        <v>0</v>
      </c>
      <c r="N58" s="30">
        <f t="shared" si="85"/>
        <v>0</v>
      </c>
      <c r="O58" s="30">
        <f t="shared" si="85"/>
        <v>0</v>
      </c>
      <c r="P58" s="30">
        <f t="shared" si="85"/>
        <v>0</v>
      </c>
      <c r="Q58" s="30">
        <f t="shared" si="85"/>
        <v>0</v>
      </c>
      <c r="R58" s="30">
        <f t="shared" si="85"/>
        <v>0</v>
      </c>
      <c r="S58" s="30">
        <f t="shared" si="85"/>
        <v>0</v>
      </c>
      <c r="T58" s="30">
        <f t="shared" si="85"/>
        <v>0</v>
      </c>
      <c r="U58" s="30">
        <f t="shared" si="85"/>
        <v>0</v>
      </c>
      <c r="V58" s="30">
        <f t="shared" si="85"/>
        <v>526.7349999999999</v>
      </c>
      <c r="W58" s="30">
        <f>SUM(W53:W57)</f>
        <v>503.72199999999998</v>
      </c>
      <c r="X58" s="30">
        <f>SUM(X53:X57)</f>
        <v>524.89699999999993</v>
      </c>
      <c r="Y58" s="30">
        <f>SUM(Y53:Y57)</f>
        <v>517.80700000000002</v>
      </c>
      <c r="AG58" s="30">
        <f>SUM(AG53:AG57)</f>
        <v>354.541</v>
      </c>
      <c r="AH58" s="30">
        <f>SUM(AH53:AH57)</f>
        <v>526.7349999999999</v>
      </c>
    </row>
    <row r="59" spans="2:35" x14ac:dyDescent="0.2">
      <c r="B59" s="1" t="s">
        <v>112</v>
      </c>
      <c r="V59" s="30">
        <v>8.1000000000000003E-2</v>
      </c>
      <c r="W59" s="30">
        <v>9.2999999999999999E-2</v>
      </c>
      <c r="X59" s="30">
        <v>9.5000000000000001E-2</v>
      </c>
      <c r="Y59" s="30">
        <v>0.40600000000000003</v>
      </c>
      <c r="AG59" s="30">
        <v>0.77300000000000002</v>
      </c>
      <c r="AH59" s="30">
        <f>W59</f>
        <v>9.2999999999999999E-2</v>
      </c>
    </row>
    <row r="60" spans="2:35" x14ac:dyDescent="0.2">
      <c r="B60" s="1" t="s">
        <v>117</v>
      </c>
      <c r="V60" s="30">
        <v>38.707000000000001</v>
      </c>
      <c r="W60" s="30">
        <v>40.279000000000003</v>
      </c>
      <c r="X60" s="30">
        <v>40.436999999999998</v>
      </c>
      <c r="Y60" s="30">
        <v>37.261000000000003</v>
      </c>
      <c r="AG60" s="30">
        <v>39.094999999999999</v>
      </c>
      <c r="AH60" s="30">
        <f>V60</f>
        <v>38.707000000000001</v>
      </c>
    </row>
    <row r="61" spans="2:35" x14ac:dyDescent="0.2">
      <c r="B61" s="1" t="s">
        <v>119</v>
      </c>
      <c r="V61" s="30">
        <v>23.178999999999998</v>
      </c>
      <c r="W61" s="30">
        <v>23.555</v>
      </c>
      <c r="X61" s="30">
        <v>24.462</v>
      </c>
      <c r="Y61" s="30">
        <v>34.014000000000003</v>
      </c>
      <c r="AG61" s="30">
        <v>16.547000000000001</v>
      </c>
      <c r="AH61" s="30">
        <f t="shared" ref="AH61" si="86">V61</f>
        <v>23.178999999999998</v>
      </c>
    </row>
    <row r="62" spans="2:35" s="2" customFormat="1" x14ac:dyDescent="0.2">
      <c r="B62" s="2" t="s">
        <v>121</v>
      </c>
      <c r="V62" s="31">
        <v>1136.521</v>
      </c>
      <c r="W62" s="31">
        <v>1137.3610000000001</v>
      </c>
      <c r="X62" s="31">
        <v>1138.2</v>
      </c>
      <c r="Y62" s="31">
        <v>1139.0419999999999</v>
      </c>
      <c r="Z62" s="53"/>
      <c r="AG62" s="31">
        <v>937.72900000000004</v>
      </c>
      <c r="AH62" s="31">
        <f>V62</f>
        <v>1136.521</v>
      </c>
      <c r="AI62" s="52"/>
    </row>
    <row r="63" spans="2:35" x14ac:dyDescent="0.2">
      <c r="B63" s="1" t="s">
        <v>122</v>
      </c>
      <c r="V63" s="30">
        <v>57.664999999999999</v>
      </c>
      <c r="W63" s="31">
        <v>56.652000000000001</v>
      </c>
      <c r="X63" s="30">
        <v>55.338999999999999</v>
      </c>
      <c r="Y63" s="30">
        <v>54.374000000000002</v>
      </c>
      <c r="AG63" s="30">
        <v>59.128999999999998</v>
      </c>
      <c r="AH63" s="30">
        <f t="shared" ref="AH63" si="87">V63</f>
        <v>57.664999999999999</v>
      </c>
    </row>
    <row r="64" spans="2:35" x14ac:dyDescent="0.2">
      <c r="B64" s="1" t="s">
        <v>123</v>
      </c>
      <c r="C64" s="30">
        <f t="shared" ref="C64:V64" si="88">C58+SUM(C59:C63)</f>
        <v>0</v>
      </c>
      <c r="D64" s="30">
        <f t="shared" si="88"/>
        <v>0</v>
      </c>
      <c r="E64" s="30">
        <f t="shared" si="88"/>
        <v>0</v>
      </c>
      <c r="F64" s="30">
        <f t="shared" si="88"/>
        <v>0</v>
      </c>
      <c r="G64" s="30">
        <f t="shared" si="88"/>
        <v>0</v>
      </c>
      <c r="H64" s="30">
        <f t="shared" si="88"/>
        <v>0</v>
      </c>
      <c r="I64" s="30">
        <f t="shared" si="88"/>
        <v>0</v>
      </c>
      <c r="J64" s="30">
        <f t="shared" si="88"/>
        <v>0</v>
      </c>
      <c r="K64" s="30">
        <f t="shared" si="88"/>
        <v>0</v>
      </c>
      <c r="L64" s="30">
        <f t="shared" si="88"/>
        <v>0</v>
      </c>
      <c r="M64" s="30">
        <f t="shared" si="88"/>
        <v>0</v>
      </c>
      <c r="N64" s="30">
        <f t="shared" si="88"/>
        <v>0</v>
      </c>
      <c r="O64" s="30">
        <f t="shared" si="88"/>
        <v>0</v>
      </c>
      <c r="P64" s="30">
        <f t="shared" si="88"/>
        <v>0</v>
      </c>
      <c r="Q64" s="30">
        <f t="shared" si="88"/>
        <v>0</v>
      </c>
      <c r="R64" s="30">
        <f t="shared" si="88"/>
        <v>0</v>
      </c>
      <c r="S64" s="30">
        <f t="shared" si="88"/>
        <v>0</v>
      </c>
      <c r="T64" s="30">
        <f t="shared" si="88"/>
        <v>0</v>
      </c>
      <c r="U64" s="30">
        <f t="shared" si="88"/>
        <v>0</v>
      </c>
      <c r="V64" s="30">
        <f t="shared" si="88"/>
        <v>1782.8879999999999</v>
      </c>
      <c r="W64" s="30">
        <f>W58+SUM(W59:W63)</f>
        <v>1761.662</v>
      </c>
      <c r="X64" s="30">
        <f>X58+SUM(X59:X63)</f>
        <v>1783.4299999999998</v>
      </c>
      <c r="Y64" s="30">
        <f>Y58+SUM(Y59:Y63)</f>
        <v>1782.904</v>
      </c>
      <c r="AG64" s="30">
        <f>AG58+SUM(AG59:AG63)</f>
        <v>1407.8139999999999</v>
      </c>
      <c r="AH64" s="30">
        <f>AH58+SUM(AH59:AH63)</f>
        <v>1782.8999999999999</v>
      </c>
    </row>
    <row r="66" spans="2:35" x14ac:dyDescent="0.2">
      <c r="B66" s="1" t="s">
        <v>124</v>
      </c>
      <c r="V66" s="1">
        <v>666.7</v>
      </c>
      <c r="W66" s="30">
        <v>672.87900000000002</v>
      </c>
      <c r="X66" s="30">
        <v>668.16800000000001</v>
      </c>
      <c r="Y66" s="30">
        <v>684.28200000000004</v>
      </c>
      <c r="AG66" s="1">
        <v>-5.0330000000000004</v>
      </c>
      <c r="AH66" s="1">
        <f>V66</f>
        <v>666.7</v>
      </c>
    </row>
    <row r="67" spans="2:35" x14ac:dyDescent="0.2">
      <c r="B67" s="1" t="s">
        <v>125</v>
      </c>
      <c r="C67" s="30">
        <f t="shared" ref="C67" si="89">C66+C64</f>
        <v>0</v>
      </c>
      <c r="D67" s="30">
        <f t="shared" ref="D67" si="90">D66+D64</f>
        <v>0</v>
      </c>
      <c r="E67" s="30">
        <f t="shared" ref="E67" si="91">E66+E64</f>
        <v>0</v>
      </c>
      <c r="F67" s="30">
        <f t="shared" ref="F67" si="92">F66+F64</f>
        <v>0</v>
      </c>
      <c r="G67" s="30">
        <f t="shared" ref="G67" si="93">G66+G64</f>
        <v>0</v>
      </c>
      <c r="H67" s="30">
        <f t="shared" ref="H67" si="94">H66+H64</f>
        <v>0</v>
      </c>
      <c r="I67" s="30">
        <f t="shared" ref="I67" si="95">I66+I64</f>
        <v>0</v>
      </c>
      <c r="J67" s="30">
        <f t="shared" ref="J67" si="96">J66+J64</f>
        <v>0</v>
      </c>
      <c r="K67" s="30">
        <f t="shared" ref="K67" si="97">K66+K64</f>
        <v>0</v>
      </c>
      <c r="L67" s="30">
        <f t="shared" ref="L67" si="98">L66+L64</f>
        <v>0</v>
      </c>
      <c r="M67" s="30">
        <f t="shared" ref="M67" si="99">M66+M64</f>
        <v>0</v>
      </c>
      <c r="N67" s="30">
        <f t="shared" ref="N67" si="100">N66+N64</f>
        <v>0</v>
      </c>
      <c r="O67" s="30">
        <f t="shared" ref="O67" si="101">O66+O64</f>
        <v>0</v>
      </c>
      <c r="P67" s="30">
        <f t="shared" ref="P67" si="102">P66+P64</f>
        <v>0</v>
      </c>
      <c r="Q67" s="30">
        <f t="shared" ref="Q67" si="103">Q66+Q64</f>
        <v>0</v>
      </c>
      <c r="R67" s="30">
        <f t="shared" ref="R67" si="104">R66+R64</f>
        <v>0</v>
      </c>
      <c r="S67" s="30">
        <f t="shared" ref="S67" si="105">S66+S64</f>
        <v>0</v>
      </c>
      <c r="T67" s="30">
        <f t="shared" ref="T67" si="106">T66+T64</f>
        <v>0</v>
      </c>
      <c r="U67" s="30">
        <f t="shared" ref="U67" si="107">U66+U64</f>
        <v>0</v>
      </c>
      <c r="V67" s="30">
        <f t="shared" ref="V67" si="108">V66+V64</f>
        <v>2449.5879999999997</v>
      </c>
      <c r="W67" s="30">
        <f t="shared" ref="W67:Y67" si="109">W66+W64</f>
        <v>2434.5410000000002</v>
      </c>
      <c r="X67" s="30">
        <f t="shared" ref="X67" si="110">X66+X64</f>
        <v>2451.598</v>
      </c>
      <c r="Y67" s="30">
        <f t="shared" si="109"/>
        <v>2467.1860000000001</v>
      </c>
      <c r="AF67" s="47"/>
      <c r="AG67" s="30">
        <f>AG66+AG64</f>
        <v>1402.7809999999999</v>
      </c>
      <c r="AH67" s="30">
        <f t="shared" ref="AH67" si="111">AH66+AH64</f>
        <v>2449.6</v>
      </c>
    </row>
    <row r="68" spans="2:35" x14ac:dyDescent="0.2">
      <c r="AF68" s="47"/>
    </row>
    <row r="69" spans="2:35" x14ac:dyDescent="0.2">
      <c r="B69" s="1" t="s">
        <v>126</v>
      </c>
      <c r="C69" s="30">
        <f t="shared" ref="C69:V69" si="112">C51-C64</f>
        <v>0</v>
      </c>
      <c r="D69" s="30">
        <f t="shared" si="112"/>
        <v>0</v>
      </c>
      <c r="E69" s="30">
        <f t="shared" si="112"/>
        <v>0</v>
      </c>
      <c r="F69" s="30">
        <f t="shared" si="112"/>
        <v>0</v>
      </c>
      <c r="G69" s="30">
        <f t="shared" si="112"/>
        <v>0</v>
      </c>
      <c r="H69" s="30">
        <f t="shared" si="112"/>
        <v>0</v>
      </c>
      <c r="I69" s="30">
        <f t="shared" si="112"/>
        <v>0</v>
      </c>
      <c r="J69" s="30">
        <f t="shared" si="112"/>
        <v>0</v>
      </c>
      <c r="K69" s="30">
        <f t="shared" si="112"/>
        <v>0</v>
      </c>
      <c r="L69" s="30">
        <f t="shared" si="112"/>
        <v>0</v>
      </c>
      <c r="M69" s="30">
        <f t="shared" si="112"/>
        <v>0</v>
      </c>
      <c r="N69" s="30">
        <f t="shared" si="112"/>
        <v>0</v>
      </c>
      <c r="O69" s="30">
        <f t="shared" si="112"/>
        <v>0</v>
      </c>
      <c r="P69" s="30">
        <f t="shared" si="112"/>
        <v>0</v>
      </c>
      <c r="Q69" s="30">
        <f t="shared" si="112"/>
        <v>0</v>
      </c>
      <c r="R69" s="30">
        <f t="shared" si="112"/>
        <v>0</v>
      </c>
      <c r="S69" s="30">
        <f t="shared" si="112"/>
        <v>0</v>
      </c>
      <c r="T69" s="30">
        <f t="shared" si="112"/>
        <v>0</v>
      </c>
      <c r="U69" s="30">
        <f t="shared" si="112"/>
        <v>0</v>
      </c>
      <c r="V69" s="30">
        <f t="shared" si="112"/>
        <v>666.70000000000027</v>
      </c>
      <c r="W69" s="30">
        <f>W51-W64</f>
        <v>672.87900000000013</v>
      </c>
      <c r="X69" s="30">
        <f t="shared" ref="X69:Y69" si="113">X51-X64</f>
        <v>668.16800000000012</v>
      </c>
      <c r="Y69" s="30">
        <f t="shared" si="113"/>
        <v>684.2819999999997</v>
      </c>
      <c r="AF69" s="47"/>
      <c r="AG69" s="30">
        <f t="shared" ref="AG69:AH69" si="114">AG51-AG64</f>
        <v>-0.31900000000018736</v>
      </c>
      <c r="AH69" s="30">
        <f t="shared" si="114"/>
        <v>666.68800000000033</v>
      </c>
    </row>
    <row r="70" spans="2:35" x14ac:dyDescent="0.2">
      <c r="B70" s="1" t="s">
        <v>127</v>
      </c>
      <c r="C70" s="1" t="e">
        <f t="shared" ref="C70:U70" si="115">C69/C23</f>
        <v>#DIV/0!</v>
      </c>
      <c r="D70" s="1" t="e">
        <f t="shared" si="115"/>
        <v>#DIV/0!</v>
      </c>
      <c r="E70" s="1" t="e">
        <f t="shared" si="115"/>
        <v>#DIV/0!</v>
      </c>
      <c r="F70" s="1" t="e">
        <f t="shared" si="115"/>
        <v>#DIV/0!</v>
      </c>
      <c r="G70" s="1" t="e">
        <f t="shared" si="115"/>
        <v>#DIV/0!</v>
      </c>
      <c r="H70" s="1" t="e">
        <f t="shared" si="115"/>
        <v>#DIV/0!</v>
      </c>
      <c r="I70" s="1" t="e">
        <f t="shared" si="115"/>
        <v>#DIV/0!</v>
      </c>
      <c r="J70" s="1" t="e">
        <f t="shared" si="115"/>
        <v>#DIV/0!</v>
      </c>
      <c r="K70" s="1" t="e">
        <f t="shared" si="115"/>
        <v>#DIV/0!</v>
      </c>
      <c r="L70" s="1" t="e">
        <f t="shared" si="115"/>
        <v>#DIV/0!</v>
      </c>
      <c r="M70" s="1" t="e">
        <f t="shared" si="115"/>
        <v>#DIV/0!</v>
      </c>
      <c r="N70" s="1" t="e">
        <f t="shared" si="115"/>
        <v>#DIV/0!</v>
      </c>
      <c r="O70" s="1" t="e">
        <f t="shared" si="115"/>
        <v>#DIV/0!</v>
      </c>
      <c r="P70" s="1" t="e">
        <f t="shared" si="115"/>
        <v>#DIV/0!</v>
      </c>
      <c r="Q70" s="1" t="e">
        <f t="shared" si="115"/>
        <v>#DIV/0!</v>
      </c>
      <c r="R70" s="1">
        <f t="shared" si="115"/>
        <v>0</v>
      </c>
      <c r="S70" s="1">
        <f t="shared" si="115"/>
        <v>0</v>
      </c>
      <c r="T70" s="1">
        <f t="shared" si="115"/>
        <v>0</v>
      </c>
      <c r="U70" s="1">
        <f t="shared" si="115"/>
        <v>0</v>
      </c>
      <c r="V70" s="1">
        <f>V69/V23</f>
        <v>10.326342790096973</v>
      </c>
      <c r="W70" s="1">
        <f>W69/W23</f>
        <v>9.9381740323846604</v>
      </c>
      <c r="X70" s="1">
        <f t="shared" ref="X70:Y70" si="116">X69/X23</f>
        <v>9.7779065041031146</v>
      </c>
      <c r="Y70" s="1">
        <f t="shared" si="116"/>
        <v>9.929101045342879</v>
      </c>
      <c r="AG70" s="1">
        <f t="shared" ref="AG70:AH70" si="117">AG69/AG23</f>
        <v>-5.4081909238584934E-3</v>
      </c>
      <c r="AH70" s="1">
        <f t="shared" si="117"/>
        <v>10.326156925219998</v>
      </c>
    </row>
    <row r="72" spans="2:35" s="38" customFormat="1" x14ac:dyDescent="0.2">
      <c r="B72" s="38" t="s">
        <v>5</v>
      </c>
      <c r="C72" s="34">
        <f t="shared" ref="C72:V72" si="118">C40+C41</f>
        <v>0</v>
      </c>
      <c r="D72" s="34">
        <f t="shared" si="118"/>
        <v>0</v>
      </c>
      <c r="E72" s="34">
        <f t="shared" si="118"/>
        <v>0</v>
      </c>
      <c r="F72" s="34">
        <f t="shared" si="118"/>
        <v>0</v>
      </c>
      <c r="G72" s="34">
        <f t="shared" si="118"/>
        <v>0</v>
      </c>
      <c r="H72" s="34">
        <f t="shared" si="118"/>
        <v>0</v>
      </c>
      <c r="I72" s="34">
        <f t="shared" si="118"/>
        <v>0</v>
      </c>
      <c r="J72" s="34">
        <f t="shared" si="118"/>
        <v>0</v>
      </c>
      <c r="K72" s="34">
        <f t="shared" si="118"/>
        <v>0</v>
      </c>
      <c r="L72" s="34">
        <f t="shared" si="118"/>
        <v>0</v>
      </c>
      <c r="M72" s="34">
        <f t="shared" si="118"/>
        <v>0</v>
      </c>
      <c r="N72" s="34">
        <f t="shared" si="118"/>
        <v>0</v>
      </c>
      <c r="O72" s="34">
        <f t="shared" si="118"/>
        <v>0</v>
      </c>
      <c r="P72" s="34">
        <f t="shared" si="118"/>
        <v>0</v>
      </c>
      <c r="Q72" s="34">
        <f t="shared" si="118"/>
        <v>0</v>
      </c>
      <c r="R72" s="34">
        <f t="shared" si="118"/>
        <v>0</v>
      </c>
      <c r="S72" s="34">
        <f t="shared" si="118"/>
        <v>0</v>
      </c>
      <c r="T72" s="34">
        <f t="shared" si="118"/>
        <v>0</v>
      </c>
      <c r="U72" s="34">
        <f t="shared" si="118"/>
        <v>0</v>
      </c>
      <c r="V72" s="34">
        <f t="shared" si="118"/>
        <v>1825.923</v>
      </c>
      <c r="W72" s="34">
        <f>W40+W41</f>
        <v>1828.6950000000002</v>
      </c>
      <c r="X72" s="34">
        <f>X40+X41</f>
        <v>1795.6120000000001</v>
      </c>
      <c r="Y72" s="34">
        <f t="shared" ref="Y72" si="119">Y40+Y41</f>
        <v>1787.5319999999999</v>
      </c>
      <c r="Z72" s="49"/>
      <c r="AG72" s="34">
        <f t="shared" ref="AG72:AH72" si="120">AG40+AG41</f>
        <v>957.74199999999996</v>
      </c>
      <c r="AH72" s="34">
        <f t="shared" si="120"/>
        <v>1825.923</v>
      </c>
      <c r="AI72" s="54"/>
    </row>
    <row r="73" spans="2:35" s="38" customFormat="1" x14ac:dyDescent="0.2">
      <c r="B73" s="38" t="s">
        <v>6</v>
      </c>
      <c r="C73" s="34">
        <f t="shared" ref="C73:V73" si="121">C62</f>
        <v>0</v>
      </c>
      <c r="D73" s="34">
        <f t="shared" si="121"/>
        <v>0</v>
      </c>
      <c r="E73" s="34">
        <f t="shared" si="121"/>
        <v>0</v>
      </c>
      <c r="F73" s="34">
        <f t="shared" si="121"/>
        <v>0</v>
      </c>
      <c r="G73" s="34">
        <f t="shared" si="121"/>
        <v>0</v>
      </c>
      <c r="H73" s="34">
        <f t="shared" si="121"/>
        <v>0</v>
      </c>
      <c r="I73" s="34">
        <f t="shared" si="121"/>
        <v>0</v>
      </c>
      <c r="J73" s="34">
        <f t="shared" si="121"/>
        <v>0</v>
      </c>
      <c r="K73" s="34">
        <f t="shared" si="121"/>
        <v>0</v>
      </c>
      <c r="L73" s="34">
        <f t="shared" si="121"/>
        <v>0</v>
      </c>
      <c r="M73" s="34">
        <f t="shared" si="121"/>
        <v>0</v>
      </c>
      <c r="N73" s="34">
        <f t="shared" si="121"/>
        <v>0</v>
      </c>
      <c r="O73" s="34">
        <f t="shared" si="121"/>
        <v>0</v>
      </c>
      <c r="P73" s="34">
        <f t="shared" si="121"/>
        <v>0</v>
      </c>
      <c r="Q73" s="34">
        <f t="shared" si="121"/>
        <v>0</v>
      </c>
      <c r="R73" s="34">
        <f t="shared" si="121"/>
        <v>0</v>
      </c>
      <c r="S73" s="34">
        <f t="shared" si="121"/>
        <v>0</v>
      </c>
      <c r="T73" s="34">
        <f t="shared" si="121"/>
        <v>0</v>
      </c>
      <c r="U73" s="34">
        <f t="shared" si="121"/>
        <v>0</v>
      </c>
      <c r="V73" s="34">
        <f t="shared" si="121"/>
        <v>1136.521</v>
      </c>
      <c r="W73" s="34">
        <f>W62</f>
        <v>1137.3610000000001</v>
      </c>
      <c r="X73" s="34">
        <f>X62</f>
        <v>1138.2</v>
      </c>
      <c r="Y73" s="34">
        <f t="shared" ref="Y73" si="122">Y62</f>
        <v>1139.0419999999999</v>
      </c>
      <c r="Z73" s="49"/>
      <c r="AG73" s="34">
        <f t="shared" ref="AG73:AH73" si="123">AG62</f>
        <v>937.72900000000004</v>
      </c>
      <c r="AH73" s="34">
        <f t="shared" si="123"/>
        <v>1136.521</v>
      </c>
      <c r="AI73" s="54"/>
    </row>
    <row r="74" spans="2:35" x14ac:dyDescent="0.2">
      <c r="B74" s="1" t="s">
        <v>7</v>
      </c>
      <c r="C74" s="30">
        <f t="shared" ref="C74:V74" si="124">C72-C73</f>
        <v>0</v>
      </c>
      <c r="D74" s="30">
        <f t="shared" si="124"/>
        <v>0</v>
      </c>
      <c r="E74" s="30">
        <f t="shared" si="124"/>
        <v>0</v>
      </c>
      <c r="F74" s="30">
        <f t="shared" si="124"/>
        <v>0</v>
      </c>
      <c r="G74" s="30">
        <f t="shared" si="124"/>
        <v>0</v>
      </c>
      <c r="H74" s="30">
        <f t="shared" si="124"/>
        <v>0</v>
      </c>
      <c r="I74" s="30">
        <f t="shared" si="124"/>
        <v>0</v>
      </c>
      <c r="J74" s="30">
        <f t="shared" si="124"/>
        <v>0</v>
      </c>
      <c r="K74" s="30">
        <f t="shared" si="124"/>
        <v>0</v>
      </c>
      <c r="L74" s="30">
        <f t="shared" si="124"/>
        <v>0</v>
      </c>
      <c r="M74" s="30">
        <f t="shared" si="124"/>
        <v>0</v>
      </c>
      <c r="N74" s="30">
        <f t="shared" si="124"/>
        <v>0</v>
      </c>
      <c r="O74" s="30">
        <f t="shared" si="124"/>
        <v>0</v>
      </c>
      <c r="P74" s="30">
        <f t="shared" si="124"/>
        <v>0</v>
      </c>
      <c r="Q74" s="30">
        <f t="shared" si="124"/>
        <v>0</v>
      </c>
      <c r="R74" s="30">
        <f t="shared" si="124"/>
        <v>0</v>
      </c>
      <c r="S74" s="30">
        <f t="shared" si="124"/>
        <v>0</v>
      </c>
      <c r="T74" s="30">
        <f t="shared" si="124"/>
        <v>0</v>
      </c>
      <c r="U74" s="30">
        <f t="shared" si="124"/>
        <v>0</v>
      </c>
      <c r="V74" s="30">
        <f t="shared" si="124"/>
        <v>689.40200000000004</v>
      </c>
      <c r="W74" s="30">
        <f>W72-W73</f>
        <v>691.33400000000006</v>
      </c>
      <c r="X74" s="30">
        <f>X72-X73</f>
        <v>657.41200000000003</v>
      </c>
      <c r="Y74" s="30">
        <f t="shared" ref="Y74" si="125">Y72-Y73</f>
        <v>648.49</v>
      </c>
      <c r="AG74" s="30">
        <f t="shared" ref="AG74" si="126">AG72-AG73</f>
        <v>20.01299999999992</v>
      </c>
      <c r="AH74" s="30">
        <f t="shared" ref="AH74" si="127">AH72-AH73</f>
        <v>689.40200000000004</v>
      </c>
    </row>
    <row r="76" spans="2:35" x14ac:dyDescent="0.2">
      <c r="B76" s="1" t="s">
        <v>128</v>
      </c>
      <c r="V76" s="1">
        <v>405.11</v>
      </c>
      <c r="W76" s="30">
        <v>354.93</v>
      </c>
      <c r="X76" s="1">
        <v>312.47000000000003</v>
      </c>
      <c r="Y76" s="1">
        <v>183.03</v>
      </c>
      <c r="AG76" s="1">
        <v>369.61</v>
      </c>
      <c r="AH76" s="1">
        <f>V76</f>
        <v>405.11</v>
      </c>
    </row>
    <row r="77" spans="2:35" x14ac:dyDescent="0.2">
      <c r="B77" s="1" t="s">
        <v>4</v>
      </c>
      <c r="V77" s="30">
        <f t="shared" ref="V77" si="128">V76*V23</f>
        <v>26155.129893520003</v>
      </c>
      <c r="W77" s="30">
        <f>W76*W23</f>
        <v>24031.06875486</v>
      </c>
      <c r="X77" s="30">
        <f t="shared" ref="X77:Y77" si="129">X76*X23</f>
        <v>21352.46996608</v>
      </c>
      <c r="Y77" s="30">
        <f t="shared" si="129"/>
        <v>12613.844283390001</v>
      </c>
      <c r="AG77" s="30">
        <f t="shared" ref="AG77" si="130">AG76*AG23</f>
        <v>21801.299484439998</v>
      </c>
      <c r="AH77" s="30">
        <f>AH76*AH23</f>
        <v>26155.129893520003</v>
      </c>
    </row>
    <row r="78" spans="2:35" x14ac:dyDescent="0.2">
      <c r="B78" s="1" t="s">
        <v>8</v>
      </c>
      <c r="V78" s="30">
        <f t="shared" ref="V78" si="131">V77-V74</f>
        <v>25465.727893520001</v>
      </c>
      <c r="W78" s="30">
        <f>W77-W74</f>
        <v>23339.734754860001</v>
      </c>
      <c r="X78" s="30">
        <f t="shared" ref="X78:Y78" si="132">X77-X74</f>
        <v>20695.057966079999</v>
      </c>
      <c r="Y78" s="30">
        <f t="shared" si="132"/>
        <v>11965.354283390001</v>
      </c>
      <c r="AG78" s="30">
        <f t="shared" ref="AG78" si="133">AG77-AG74</f>
        <v>21781.286484439999</v>
      </c>
      <c r="AH78" s="30">
        <f>AH77-AH74</f>
        <v>25465.727893520001</v>
      </c>
    </row>
    <row r="80" spans="2:35" x14ac:dyDescent="0.2">
      <c r="B80" s="1" t="s">
        <v>21</v>
      </c>
      <c r="V80" s="40">
        <f>V76/V70</f>
        <v>39.230733303614812</v>
      </c>
      <c r="W80" s="40">
        <f>W76/W70</f>
        <v>35.713804049256993</v>
      </c>
      <c r="X80" s="40">
        <f t="shared" ref="X80:Y80" si="134">X76/X70</f>
        <v>31.956738374301072</v>
      </c>
      <c r="Y80" s="40">
        <f t="shared" si="134"/>
        <v>18.433692956105823</v>
      </c>
      <c r="AG80" s="48" t="s">
        <v>142</v>
      </c>
      <c r="AH80" s="40">
        <f>AH76/AH70</f>
        <v>39.231439434218089</v>
      </c>
    </row>
    <row r="81" spans="2:35" x14ac:dyDescent="0.2">
      <c r="B81" s="1" t="s">
        <v>22</v>
      </c>
      <c r="V81" s="40">
        <f t="shared" ref="V81:X81" si="135">V77/SUM(S6:V6)</f>
        <v>29.93324409694867</v>
      </c>
      <c r="W81" s="40">
        <f t="shared" si="135"/>
        <v>24.582176571414543</v>
      </c>
      <c r="X81" s="40">
        <f t="shared" si="135"/>
        <v>19.725254796867233</v>
      </c>
      <c r="Y81" s="40">
        <f>Y77/SUM(V6:Y6)</f>
        <v>10.606803677858297</v>
      </c>
      <c r="AG81" s="40">
        <f t="shared" ref="AG81" si="136">AG77/AG6</f>
        <v>36.927571198956599</v>
      </c>
      <c r="AH81" s="40">
        <f>AH77/AH6</f>
        <v>29.93324409694867</v>
      </c>
    </row>
    <row r="82" spans="2:35" x14ac:dyDescent="0.2">
      <c r="B82" s="1" t="s">
        <v>23</v>
      </c>
      <c r="V82" s="40">
        <f t="shared" ref="V82:X82" si="137">V78/SUM(S6:V6)</f>
        <v>29.144257828062376</v>
      </c>
      <c r="W82" s="40">
        <f t="shared" si="137"/>
        <v>23.874988113373725</v>
      </c>
      <c r="X82" s="40">
        <f t="shared" si="137"/>
        <v>19.117942423773247</v>
      </c>
      <c r="Y82" s="40">
        <f>Y78/SUM(V6:Y6)</f>
        <v>10.061497586985441</v>
      </c>
      <c r="AG82" s="40">
        <f t="shared" ref="AG82" si="138">AG78/AG6</f>
        <v>36.893672692909654</v>
      </c>
      <c r="AH82" s="40">
        <f>AH78/AH6</f>
        <v>29.144257828062376</v>
      </c>
    </row>
    <row r="83" spans="2:35" x14ac:dyDescent="0.2">
      <c r="B83" s="1" t="s">
        <v>20</v>
      </c>
      <c r="V83" s="40">
        <f t="shared" ref="V83" si="139">V76/SUM(S22:V22)</f>
        <v>-84.508678490299772</v>
      </c>
      <c r="W83" s="40">
        <f t="shared" ref="W83:X83" si="140">W76/SUM(T22:W22)</f>
        <v>-72.546524492411535</v>
      </c>
      <c r="X83" s="40">
        <f t="shared" si="140"/>
        <v>-57.695906234315359</v>
      </c>
      <c r="Y83" s="40">
        <f>Y76/SUM(V22:Y22)</f>
        <v>-33.274743486600045</v>
      </c>
      <c r="AG83" s="40">
        <f t="shared" ref="AG83" si="141">AG76/AG22</f>
        <v>-81.669936332863827</v>
      </c>
      <c r="AH83" s="40">
        <f>AH76/AH22</f>
        <v>-85.233065551478504</v>
      </c>
    </row>
    <row r="84" spans="2:35" x14ac:dyDescent="0.2">
      <c r="B84" s="1" t="s">
        <v>24</v>
      </c>
      <c r="V84" s="40"/>
      <c r="W84" s="40"/>
      <c r="X84" s="40"/>
      <c r="Y84" s="40"/>
    </row>
    <row r="85" spans="2:35" x14ac:dyDescent="0.2">
      <c r="B85" s="1" t="s">
        <v>129</v>
      </c>
    </row>
    <row r="87" spans="2:35" x14ac:dyDescent="0.2">
      <c r="B87" s="37" t="s">
        <v>152</v>
      </c>
    </row>
    <row r="89" spans="2:35" x14ac:dyDescent="0.2">
      <c r="B89" s="1" t="s">
        <v>153</v>
      </c>
    </row>
    <row r="91" spans="2:35" x14ac:dyDescent="0.2">
      <c r="B91" s="1" t="s">
        <v>154</v>
      </c>
    </row>
    <row r="93" spans="2:35" s="2" customFormat="1" x14ac:dyDescent="0.2">
      <c r="B93" s="2" t="s">
        <v>155</v>
      </c>
      <c r="Z93" s="53"/>
      <c r="AI93" s="52"/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H1" r:id="rId4" xr:uid="{AD1CDE78-BFA1-4502-94FA-12E996AA6832}"/>
  </hyperlinks>
  <pageMargins left="0.7" right="0.7" top="0.75" bottom="0.75" header="0.3" footer="0.3"/>
  <pageSetup paperSize="256" orientation="portrait" horizontalDpi="203" verticalDpi="203" r:id="rId5"/>
  <ignoredErrors>
    <ignoredError sqref="AF4 AF5" formulaRange="1"/>
    <ignoredError sqref="AH45 AH58 V6:V23 R6 R19 AI10 AI19:AI21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2023-03-05T13:07:37Z</dcterms:modified>
</cp:coreProperties>
</file>