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AF50572-AD06-45DB-B0E9-D5C70E59DDCC}" xr6:coauthVersionLast="36" xr6:coauthVersionMax="47" xr10:uidLastSave="{00000000-0000-0000-0000-000000000000}"/>
  <bookViews>
    <workbookView xWindow="0" yWindow="495" windowWidth="33600" windowHeight="18825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1" l="1"/>
  <c r="AF11" i="1"/>
  <c r="AE11" i="1"/>
  <c r="AD11" i="1"/>
  <c r="AC11" i="1"/>
  <c r="AH7" i="1" l="1"/>
  <c r="AF7" i="1"/>
  <c r="AE7" i="1"/>
  <c r="AD7" i="1"/>
  <c r="AC7" i="1"/>
  <c r="AH19" i="1" l="1"/>
  <c r="AF19" i="1"/>
  <c r="AE19" i="1"/>
  <c r="AD19" i="1"/>
  <c r="AC19" i="1"/>
  <c r="AH22" i="1" l="1"/>
  <c r="AF22" i="1"/>
  <c r="AE22" i="1"/>
  <c r="AD22" i="1"/>
  <c r="AC22" i="1"/>
  <c r="Q46" i="1" l="1"/>
  <c r="J46" i="1"/>
  <c r="I46" i="1"/>
  <c r="T46" i="1"/>
  <c r="X46" i="1"/>
  <c r="Y46" i="1"/>
  <c r="W46" i="1"/>
  <c r="AJ46" i="1" l="1"/>
  <c r="AI46" i="1"/>
  <c r="AF46" i="1"/>
  <c r="AE46" i="1"/>
  <c r="AD46" i="1"/>
  <c r="AC46" i="1"/>
  <c r="L46" i="1"/>
  <c r="K46" i="1"/>
  <c r="AO46" i="1" l="1"/>
  <c r="AP46" i="1"/>
  <c r="AQ46" i="1"/>
  <c r="AR46" i="1"/>
  <c r="G46" i="1"/>
  <c r="F46" i="1"/>
  <c r="H46" i="1"/>
  <c r="AH5" i="1" l="1"/>
  <c r="AF5" i="1"/>
  <c r="AE5" i="1"/>
  <c r="AD5" i="1"/>
  <c r="AC5" i="1"/>
  <c r="T4" i="1" l="1"/>
  <c r="AH4" i="1" l="1"/>
  <c r="AI4" i="1" l="1"/>
  <c r="AC4" i="1" l="1"/>
  <c r="S4" i="1" l="1"/>
  <c r="U4" i="1"/>
  <c r="AD4" i="1"/>
  <c r="AF4" i="1" l="1"/>
  <c r="W4" i="1" l="1"/>
  <c r="AE4" i="1"/>
  <c r="AO22" i="1" l="1"/>
  <c r="AO23" i="1" l="1"/>
  <c r="AO11" i="1" l="1"/>
  <c r="AO4" i="1" l="1"/>
  <c r="AO7" i="1" l="1"/>
  <c r="AO19" i="1" l="1"/>
  <c r="AH23" i="1" l="1"/>
  <c r="AI23" i="1"/>
  <c r="AF23" i="1"/>
  <c r="AE23" i="1"/>
  <c r="AD23" i="1"/>
  <c r="AC23" i="1"/>
  <c r="W23" i="1"/>
  <c r="AI22" i="1" l="1"/>
  <c r="W7" i="1"/>
  <c r="W22" i="1"/>
  <c r="AI7" i="1" l="1"/>
  <c r="AI19" i="1" l="1"/>
  <c r="AR56" i="1" l="1"/>
  <c r="AQ56" i="1"/>
  <c r="AP56" i="1"/>
  <c r="L56" i="1"/>
  <c r="K56" i="1"/>
  <c r="I56" i="1"/>
  <c r="J56" i="1"/>
  <c r="H56" i="1"/>
  <c r="G56" i="1"/>
  <c r="F56" i="1"/>
  <c r="AR55" i="1" l="1"/>
  <c r="AQ55" i="1"/>
  <c r="AP55" i="1"/>
  <c r="L55" i="1"/>
  <c r="K55" i="1"/>
  <c r="I55" i="1"/>
  <c r="J55" i="1"/>
  <c r="H55" i="1"/>
  <c r="G55" i="1"/>
  <c r="F55" i="1"/>
  <c r="AJ19" i="1" l="1"/>
  <c r="AL11" i="1" l="1"/>
  <c r="AK11" i="1"/>
  <c r="AI11" i="1"/>
  <c r="AJ11" i="1"/>
  <c r="AL7" i="1" l="1"/>
  <c r="AK7" i="1"/>
  <c r="AJ7" i="1"/>
  <c r="AJ4" i="1" l="1"/>
  <c r="AM23" i="1" l="1"/>
  <c r="AL23" i="1"/>
  <c r="AK23" i="1"/>
  <c r="AJ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Q22" i="1"/>
  <c r="AR22" i="1"/>
  <c r="AP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X19" i="1" l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P23" i="1" l="1"/>
  <c r="AR23" i="1"/>
  <c r="AQ23" i="1"/>
  <c r="F23" i="1"/>
  <c r="L11" i="1" l="1"/>
  <c r="K11" i="1"/>
  <c r="I11" i="1"/>
  <c r="G11" i="1"/>
  <c r="F11" i="1"/>
  <c r="H11" i="1" l="1"/>
  <c r="J11" i="1"/>
  <c r="L5" i="1" l="1"/>
  <c r="K5" i="1"/>
  <c r="AP5" i="1"/>
  <c r="AQ5" i="1"/>
  <c r="AR5" i="1"/>
  <c r="F5" i="1"/>
  <c r="F19" i="1" l="1"/>
  <c r="AQ19" i="1"/>
  <c r="AR19" i="1"/>
  <c r="AP19" i="1"/>
  <c r="L19" i="1"/>
  <c r="K19" i="1"/>
  <c r="AR13" i="1" l="1"/>
  <c r="AR11" i="1"/>
  <c r="AP11" i="1"/>
  <c r="AQ11" i="1"/>
  <c r="AR4" i="1" l="1"/>
  <c r="AP4" i="1"/>
  <c r="AQ4" i="1"/>
  <c r="L4" i="1" l="1"/>
  <c r="J4" i="1"/>
  <c r="I4" i="1"/>
  <c r="H4" i="1"/>
  <c r="G4" i="1"/>
  <c r="F4" i="1"/>
  <c r="K4" i="1"/>
  <c r="AQ7" i="1" l="1"/>
  <c r="AR7" i="1"/>
  <c r="AP7" i="1"/>
  <c r="J7" i="1"/>
  <c r="I7" i="1"/>
  <c r="G7" i="1"/>
  <c r="H7" i="1"/>
  <c r="F7" i="1"/>
  <c r="G62" i="1"/>
  <c r="G61" i="1"/>
  <c r="AA23" i="1" s="1"/>
  <c r="L7" i="1"/>
  <c r="K7" i="1"/>
  <c r="I5" i="1"/>
  <c r="H5" i="1" l="1"/>
  <c r="G5" i="1"/>
  <c r="J5" i="1"/>
  <c r="L23" i="1" l="1"/>
  <c r="G23" i="1"/>
  <c r="I23" i="1" l="1"/>
  <c r="Q23" i="1" l="1"/>
  <c r="X23" i="1" l="1"/>
  <c r="T23" i="1" l="1"/>
  <c r="R23" i="1"/>
  <c r="H23" i="1"/>
  <c r="J23" i="1" l="1"/>
  <c r="S23" i="1"/>
  <c r="U23" i="1"/>
  <c r="G19" i="1" l="1"/>
  <c r="Q19" i="1" l="1"/>
  <c r="I19" i="1" l="1"/>
  <c r="H19" i="1" l="1"/>
  <c r="R19" i="1"/>
  <c r="Y19" i="1"/>
  <c r="J19" i="1" l="1"/>
  <c r="S19" i="1"/>
  <c r="W19" i="1" l="1"/>
  <c r="T19" i="1" l="1"/>
  <c r="M19" i="1" l="1"/>
  <c r="N19" i="1" l="1"/>
</calcChain>
</file>

<file path=xl/sharedStrings.xml><?xml version="1.0" encoding="utf-8"?>
<sst xmlns="http://schemas.openxmlformats.org/spreadsheetml/2006/main" count="253" uniqueCount="166">
  <si>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</si>
  <si>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</si>
  <si>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</si>
  <si>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</si>
  <si>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</si>
  <si>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</si>
  <si>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</si>
  <si>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</si>
  <si>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</si>
  <si>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</si>
  <si>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</si>
  <si>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</si>
  <si>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</si>
  <si>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</si>
  <si>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</si>
  <si>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</si>
  <si>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</si>
  <si>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</si>
  <si>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</si>
  <si>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</si>
  <si>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</si>
  <si>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</si>
  <si>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</si>
  <si>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</si>
  <si>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</si>
  <si>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</si>
  <si>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</si>
  <si>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</si>
  <si>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</si>
  <si>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</si>
  <si>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</si>
  <si>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</si>
  <si>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</si>
  <si>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</si>
  <si>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</si>
  <si>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</si>
  <si>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</si>
  <si>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</si>
  <si>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</si>
  <si>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</si>
  <si>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</si>
  <si>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</si>
  <si>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</si>
  <si>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</si>
  <si>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</si>
  <si>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</si>
  <si>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</si>
  <si>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</si>
  <si>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</si>
  <si>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</si>
  <si>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</si>
  <si>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</si>
  <si>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</si>
  <si>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</si>
  <si>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</si>
  <si>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</si>
  <si>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</si>
  <si>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</si>
  <si>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</si>
  <si>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</si>
  <si>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</si>
  <si>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</si>
  <si>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</si>
  <si>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</si>
  <si>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</si>
  <si>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</si>
  <si>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</si>
  <si>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</si>
  <si>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</si>
  <si>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</si>
  <si>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</si>
  <si>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</si>
  <si>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</si>
  <si>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</si>
  <si>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</si>
  <si>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</si>
  <si>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</si>
  <si>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</si>
  <si>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</si>
  <si>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</si>
  <si>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</si>
  <si>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</si>
  <si>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</si>
  <si>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</si>
  <si>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</si>
  <si>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</si>
  <si>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</si>
  <si>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</si>
  <si>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</si>
  <si>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</si>
  <si>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</si>
  <si>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</si>
  <si>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</si>
  <si>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</si>
  <si>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</si>
  <si>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</si>
  <si>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</si>
  <si>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</si>
  <si>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</si>
  <si>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</si>
  <si>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</si>
  <si>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</si>
  <si>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</si>
  <si>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</si>
  <si>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</si>
  <si>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</si>
  <si>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</si>
  <si>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</si>
  <si>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</si>
  <si>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</si>
  <si>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</si>
  <si>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</si>
  <si>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</si>
  <si>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</si>
  <si>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</si>
  <si>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</si>
  <si>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</si>
  <si>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</si>
  <si>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</si>
  <si>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</si>
  <si>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</si>
  <si>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</si>
  <si>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</si>
  <si>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</si>
  <si>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</si>
  <si>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</si>
  <si>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</si>
  <si>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</si>
  <si>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</si>
  <si>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</si>
  <si>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</si>
  <si>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</si>
  <si>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</si>
  <si>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</si>
  <si>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</si>
  <si>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</si>
  <si>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</si>
  <si>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</si>
  <si>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</si>
  <si>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</si>
  <si>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</si>
  <si>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</si>
  <si>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</si>
  <si>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</si>
  <si>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</si>
  <si>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</si>
  <si>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</si>
  <si>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</si>
  <si>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</si>
  <si>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</si>
  <si>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</si>
  <si>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</si>
  <si>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</si>
  <si>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</si>
  <si>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</si>
  <si>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</si>
  <si>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</si>
  <si>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</si>
  <si>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</si>
  <si>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</si>
  <si>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</si>
  <si>
    <t>Employees</t>
  </si>
  <si>
    <t>$ZM</t>
  </si>
  <si>
    <t>Zoom Video Communications Inc.</t>
  </si>
  <si>
    <t>Communications</t>
  </si>
  <si>
    <t>Video Conferencing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</si>
</sst>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7" fontId="1" fillId="0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Z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293.95999999999998</v>
          </cell>
        </row>
        <row r="7">
          <cell r="C7">
            <v>70.177498999999997</v>
          </cell>
        </row>
        <row r="8">
          <cell r="C8">
            <v>20629.377606039998</v>
          </cell>
        </row>
        <row r="11">
          <cell r="C11">
            <v>762.70100000000002</v>
          </cell>
        </row>
        <row r="12">
          <cell r="C12">
            <v>19866.676606039997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6">
          <cell r="C26">
            <v>3544</v>
          </cell>
        </row>
        <row r="28">
          <cell r="C28" t="str">
            <v>FQ124</v>
          </cell>
          <cell r="D28">
            <v>45078</v>
          </cell>
        </row>
        <row r="33">
          <cell r="C33">
            <v>26.033092688480593</v>
          </cell>
        </row>
        <row r="34">
          <cell r="C34">
            <v>15.092387958530161</v>
          </cell>
        </row>
        <row r="35">
          <cell r="C35">
            <v>14.534398298920234</v>
          </cell>
        </row>
        <row r="37">
          <cell r="C37">
            <v>-61.630763474608322</v>
          </cell>
        </row>
      </sheetData>
      <sheetData sheetId="1">
        <row r="15">
          <cell r="AH15">
            <v>-209.30399999999997</v>
          </cell>
        </row>
        <row r="21">
          <cell r="AI21">
            <v>-306.86599999999999</v>
          </cell>
          <cell r="AJ21">
            <v>-345.39800000000014</v>
          </cell>
        </row>
        <row r="23">
          <cell r="AV23">
            <v>0.08</v>
          </cell>
        </row>
        <row r="26">
          <cell r="Z26">
            <v>0.35579787912673444</v>
          </cell>
          <cell r="AI26">
            <v>0.48003319895660423</v>
          </cell>
          <cell r="AJ26">
            <v>0.46951985735572488</v>
          </cell>
        </row>
        <row r="27">
          <cell r="AV27">
            <v>172.72077919418848</v>
          </cell>
        </row>
        <row r="29">
          <cell r="AJ29">
            <v>0.72796486090775991</v>
          </cell>
          <cell r="AV29">
            <v>-0.4124344155865135</v>
          </cell>
        </row>
        <row r="30">
          <cell r="AJ30">
            <v>-0.26997211924862163</v>
          </cell>
        </row>
        <row r="31">
          <cell r="AJ31">
            <v>-0.26899317778262372</v>
          </cell>
        </row>
        <row r="32">
          <cell r="AJ32">
            <v>-3.6440672880145464E-2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1.4</v>
          </cell>
        </row>
        <row r="7">
          <cell r="C7">
            <v>66.483192000000003</v>
          </cell>
        </row>
        <row r="8">
          <cell r="C8">
            <v>93.076468800000001</v>
          </cell>
        </row>
        <row r="11">
          <cell r="C11">
            <v>11.821999999999999</v>
          </cell>
        </row>
        <row r="12">
          <cell r="C12">
            <v>81.254468799999998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Q422</v>
          </cell>
          <cell r="D28">
            <v>41306</v>
          </cell>
        </row>
        <row r="34">
          <cell r="C34">
            <v>-3.0918082009604722</v>
          </cell>
        </row>
      </sheetData>
      <sheetData sheetId="1">
        <row r="25">
          <cell r="K25">
            <v>0.19672897196261663</v>
          </cell>
        </row>
        <row r="28">
          <cell r="K28">
            <v>0.73721202655212803</v>
          </cell>
        </row>
        <row r="29">
          <cell r="K29">
            <v>-0.99711050370948873</v>
          </cell>
        </row>
        <row r="30">
          <cell r="K30">
            <v>-1.0185083951581417</v>
          </cell>
        </row>
        <row r="31">
          <cell r="K31">
            <v>4.2754619025805463E-3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48.92</v>
          </cell>
        </row>
        <row r="7">
          <cell r="C7">
            <v>186.40334899999999</v>
          </cell>
        </row>
        <row r="8">
          <cell r="C8">
            <v>9118.8518330799998</v>
          </cell>
        </row>
        <row r="11">
          <cell r="C11">
            <v>2939.7060000000001</v>
          </cell>
        </row>
        <row r="12">
          <cell r="C12">
            <v>6179.1458330799996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6">
          <cell r="C26">
            <v>6766</v>
          </cell>
        </row>
        <row r="28">
          <cell r="C28" t="str">
            <v>Q123</v>
          </cell>
          <cell r="D28">
            <v>39934</v>
          </cell>
        </row>
        <row r="33">
          <cell r="C33">
            <v>0.88370677873712089</v>
          </cell>
        </row>
        <row r="34">
          <cell r="C34">
            <v>2.3041822213698371</v>
          </cell>
        </row>
        <row r="35">
          <cell r="C35">
            <v>1.5613673993675841</v>
          </cell>
        </row>
        <row r="36">
          <cell r="C36">
            <v>-6.5483454041765832</v>
          </cell>
        </row>
        <row r="37">
          <cell r="C37">
            <v>-4.4885151734092084</v>
          </cell>
        </row>
      </sheetData>
      <sheetData sheetId="1">
        <row r="18">
          <cell r="Z18">
            <v>-121.94900000000001</v>
          </cell>
          <cell r="AA18">
            <v>-307.06299999999993</v>
          </cell>
          <cell r="AB18">
            <v>-490.97899999999981</v>
          </cell>
          <cell r="AC18">
            <v>-949.90000000000009</v>
          </cell>
          <cell r="AD18">
            <v>-1256.1449999999998</v>
          </cell>
        </row>
        <row r="22">
          <cell r="W22">
            <v>0.14988182045619913</v>
          </cell>
          <cell r="AA22">
            <v>0.74515549935622039</v>
          </cell>
          <cell r="AB22">
            <v>0.55295345483521796</v>
          </cell>
          <cell r="AC22">
            <v>0.613053532344634</v>
          </cell>
          <cell r="AD22">
            <v>0.34642426963666861</v>
          </cell>
        </row>
        <row r="25">
          <cell r="W25">
            <v>0.47005177868427206</v>
          </cell>
        </row>
        <row r="26">
          <cell r="W26">
            <v>-0.26236185677214768</v>
          </cell>
          <cell r="AQ26">
            <v>0.08</v>
          </cell>
        </row>
        <row r="27">
          <cell r="W27">
            <v>-0.33990784490603682</v>
          </cell>
        </row>
        <row r="28">
          <cell r="W28">
            <v>-0.01</v>
          </cell>
        </row>
        <row r="30">
          <cell r="AQ30">
            <v>51.131939751903637</v>
          </cell>
        </row>
        <row r="32">
          <cell r="AQ32">
            <v>4.5215448730654861E-2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8.6059999999999999</v>
          </cell>
        </row>
        <row r="7">
          <cell r="C7">
            <v>1018</v>
          </cell>
        </row>
        <row r="8">
          <cell r="C8">
            <v>8760.9079999999994</v>
          </cell>
        </row>
        <row r="11">
          <cell r="C11">
            <v>-685</v>
          </cell>
        </row>
        <row r="12">
          <cell r="C12">
            <v>9445.9079999999994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11228</v>
          </cell>
        </row>
        <row r="27">
          <cell r="C27" t="str">
            <v>H123</v>
          </cell>
          <cell r="D27">
            <v>45063</v>
          </cell>
        </row>
        <row r="32">
          <cell r="C32">
            <v>43.413815659068383</v>
          </cell>
        </row>
        <row r="33">
          <cell r="C33">
            <v>4.1718609523809524</v>
          </cell>
        </row>
        <row r="34">
          <cell r="C34">
            <v>6.7081990811638583</v>
          </cell>
        </row>
        <row r="35">
          <cell r="C35">
            <v>4.4980514285714284</v>
          </cell>
        </row>
        <row r="36">
          <cell r="C36">
            <v>46.761920792079202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K17">
            <v>0.93008279668813243</v>
          </cell>
        </row>
        <row r="18">
          <cell r="K18">
            <v>0.14443422263109476</v>
          </cell>
          <cell r="AH18">
            <v>0.05</v>
          </cell>
        </row>
        <row r="19">
          <cell r="K19">
            <v>9.1996320147194111E-2</v>
          </cell>
        </row>
        <row r="20">
          <cell r="K20">
            <v>0.2805755395683453</v>
          </cell>
        </row>
        <row r="22">
          <cell r="K22">
            <v>0.16381156316916479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8.1283387836295784</v>
          </cell>
        </row>
        <row r="24">
          <cell r="AH24">
            <v>-5.5503278685849589E-2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30.01</v>
          </cell>
          <cell r="G6" t="str">
            <v>San Mateo, CA</v>
          </cell>
        </row>
        <row r="7">
          <cell r="C7">
            <v>612.68899999999996</v>
          </cell>
          <cell r="G7">
            <v>2021</v>
          </cell>
        </row>
        <row r="8">
          <cell r="C8">
            <v>18386.796890000001</v>
          </cell>
          <cell r="G8">
            <v>2004</v>
          </cell>
        </row>
        <row r="10">
          <cell r="G10">
            <v>2128</v>
          </cell>
        </row>
        <row r="11">
          <cell r="C11">
            <v>2020.4279999999999</v>
          </cell>
          <cell r="G11" t="str">
            <v>Q223</v>
          </cell>
          <cell r="H11">
            <v>40026</v>
          </cell>
        </row>
        <row r="12">
          <cell r="C12">
            <v>16366.368890000002</v>
          </cell>
        </row>
        <row r="16">
          <cell r="G16">
            <v>111.9780565773442</v>
          </cell>
        </row>
        <row r="17">
          <cell r="G17">
            <v>7.5578091811933561</v>
          </cell>
        </row>
        <row r="18">
          <cell r="G18">
            <v>-15.801046113854976</v>
          </cell>
        </row>
        <row r="19">
          <cell r="G19">
            <v>6.7273214469950737</v>
          </cell>
        </row>
      </sheetData>
      <sheetData sheetId="1">
        <row r="18">
          <cell r="Z18">
            <v>-260.81599999999992</v>
          </cell>
          <cell r="AA18">
            <v>-503.48999999999995</v>
          </cell>
        </row>
        <row r="22">
          <cell r="O22">
            <v>0.76830336433994972</v>
          </cell>
          <cell r="AS22" t="str">
            <v>Discount Rate</v>
          </cell>
        </row>
        <row r="23">
          <cell r="O23">
            <v>-0.44228222124563565</v>
          </cell>
        </row>
        <row r="24">
          <cell r="O24">
            <v>-0.41191801557655194</v>
          </cell>
        </row>
        <row r="25">
          <cell r="O25">
            <v>-2.7152817244081922E-3</v>
          </cell>
        </row>
        <row r="26">
          <cell r="AS26" t="str">
            <v>Per Share</v>
          </cell>
        </row>
        <row r="28">
          <cell r="O28">
            <v>0.22007543741412761</v>
          </cell>
          <cell r="Z28"/>
          <cell r="AA28">
            <v>1.0772942519902369</v>
          </cell>
          <cell r="AS28" t="str">
            <v>Projected Upside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57.3</v>
          </cell>
        </row>
        <row r="7">
          <cell r="C7">
            <v>1276.884726</v>
          </cell>
        </row>
        <row r="8">
          <cell r="C8">
            <v>73165.494799799999</v>
          </cell>
        </row>
        <row r="11">
          <cell r="C11">
            <v>3949</v>
          </cell>
        </row>
        <row r="12">
          <cell r="C12">
            <v>69216.494799799999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6">
          <cell r="C26">
            <v>11600</v>
          </cell>
        </row>
        <row r="28">
          <cell r="C28" t="str">
            <v>Q123</v>
          </cell>
          <cell r="D28">
            <v>38108</v>
          </cell>
        </row>
        <row r="33">
          <cell r="C33">
            <v>8.6514715383469305</v>
          </cell>
        </row>
        <row r="34">
          <cell r="C34">
            <v>12.392023767288633</v>
          </cell>
        </row>
        <row r="35">
          <cell r="C35">
            <v>11.723182505558293</v>
          </cell>
        </row>
        <row r="36">
          <cell r="C36">
            <v>-37.814244475197256</v>
          </cell>
        </row>
        <row r="37">
          <cell r="C37">
            <v>-36.08766106527078</v>
          </cell>
        </row>
      </sheetData>
      <sheetData sheetId="1">
        <row r="20">
          <cell r="AC20">
            <v>2914.6589999999997</v>
          </cell>
          <cell r="AD20">
            <v>-3460.4179999999992</v>
          </cell>
        </row>
        <row r="24">
          <cell r="W24">
            <v>0.28000000000000003</v>
          </cell>
          <cell r="AC24">
            <v>0.57428577182862139</v>
          </cell>
          <cell r="AD24">
            <v>0.21423218764853047</v>
          </cell>
          <cell r="AQ24">
            <v>7.0000000000000007E-2</v>
          </cell>
        </row>
        <row r="28">
          <cell r="AQ28">
            <v>27.384105716043681</v>
          </cell>
        </row>
        <row r="29">
          <cell r="W29">
            <v>0.46</v>
          </cell>
        </row>
        <row r="30">
          <cell r="AQ30">
            <v>-0.522092395880564</v>
          </cell>
        </row>
        <row r="32">
          <cell r="W32">
            <v>-0.12798408488063662</v>
          </cell>
        </row>
        <row r="33">
          <cell r="W33">
            <v>4.5092838196286469E-2</v>
          </cell>
        </row>
        <row r="34">
          <cell r="W34">
            <v>0.10526315789473684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6">
          <cell r="C26">
            <v>11600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0.09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53.181611591692423</v>
          </cell>
        </row>
        <row r="30">
          <cell r="Z30">
            <v>0.19053361471208924</v>
          </cell>
        </row>
        <row r="31">
          <cell r="AW31">
            <v>0.17269264810788143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68.569999999999993</v>
          </cell>
        </row>
        <row r="7">
          <cell r="C7">
            <v>293.836386</v>
          </cell>
        </row>
        <row r="8">
          <cell r="C8">
            <v>20148.360988019998</v>
          </cell>
        </row>
        <row r="11">
          <cell r="C11">
            <v>5412.6660000000002</v>
          </cell>
        </row>
        <row r="12">
          <cell r="C12">
            <v>14735.694988019997</v>
          </cell>
        </row>
        <row r="23">
          <cell r="C23" t="str">
            <v>San Jose, CA</v>
          </cell>
        </row>
        <row r="24">
          <cell r="C24">
            <v>2011</v>
          </cell>
        </row>
        <row r="25">
          <cell r="C25">
            <v>2019</v>
          </cell>
        </row>
        <row r="27">
          <cell r="C27">
            <v>8484</v>
          </cell>
        </row>
        <row r="29">
          <cell r="C29" t="str">
            <v>Q422</v>
          </cell>
          <cell r="D29">
            <v>37681</v>
          </cell>
        </row>
        <row r="34">
          <cell r="C34">
            <v>2.9780786109979251</v>
          </cell>
        </row>
        <row r="37">
          <cell r="C37">
            <v>178.2237520954381</v>
          </cell>
        </row>
      </sheetData>
      <sheetData sheetId="1">
        <row r="16">
          <cell r="AB16">
            <v>672.31600000000003</v>
          </cell>
          <cell r="AC16">
            <v>1375.6389999999994</v>
          </cell>
          <cell r="AD16">
            <v>103.7110000000001</v>
          </cell>
        </row>
        <row r="20">
          <cell r="AC20">
            <v>0.54632023921236117</v>
          </cell>
          <cell r="AD20">
            <v>7.1489200617386395E-2</v>
          </cell>
        </row>
        <row r="23">
          <cell r="AD23">
            <v>0.74949669471153846</v>
          </cell>
        </row>
        <row r="24">
          <cell r="AD24">
            <v>5.5868708114801886E-2</v>
          </cell>
        </row>
        <row r="25">
          <cell r="AD25">
            <v>2.3608455346736619E-2</v>
          </cell>
        </row>
        <row r="26">
          <cell r="AD26">
            <v>0.58395112245061676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hyperlink" Target="$ZM.xlsx" TargetMode="External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U62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" sqref="F1:J1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30.7109375" style="6" bestFit="1" customWidth="1"/>
    <col min="4" max="5" width="9.140625" style="5"/>
    <col min="6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1" width="11.28515625" style="34" bestFit="1" customWidth="1"/>
    <col min="42" max="43" width="9.140625" style="5"/>
    <col min="44" max="44" width="21" style="5" bestFit="1" customWidth="1"/>
    <col min="45" max="45" width="9.140625" style="1"/>
    <col min="46" max="46" width="17.42578125" style="5" bestFit="1" customWidth="1"/>
    <col min="47" max="47" width="30" style="1" bestFit="1" customWidth="1"/>
    <col min="48" max="16384" width="9.140625" style="1"/>
  </cols>
  <sheetData>
    <row r="1" spans="1:47" ht="15" customHeight="1" x14ac:dyDescent="0.2">
      <c r="F1" s="40" t="s">
        <v>29</v>
      </c>
      <c r="G1" s="40"/>
      <c r="H1" s="40"/>
      <c r="I1" s="40"/>
      <c r="J1" s="40"/>
      <c r="W1" s="40" t="s">
        <v>105</v>
      </c>
      <c r="X1" s="40"/>
      <c r="Y1" s="40"/>
      <c r="Z1" s="40"/>
      <c r="AA1" s="40"/>
      <c r="AB1" s="5"/>
    </row>
    <row r="2" spans="1:47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35" t="s">
        <v>161</v>
      </c>
      <c r="AP2" s="4" t="s">
        <v>12</v>
      </c>
      <c r="AQ2" s="4" t="s">
        <v>10</v>
      </c>
      <c r="AR2" s="4" t="s">
        <v>11</v>
      </c>
      <c r="AT2" s="4" t="s">
        <v>38</v>
      </c>
      <c r="AU2" s="4" t="s">
        <v>40</v>
      </c>
    </row>
    <row r="3" spans="1:47" x14ac:dyDescent="0.2">
      <c r="F3" s="16"/>
      <c r="I3" s="17"/>
      <c r="J3" s="17"/>
      <c r="W3" s="23"/>
      <c r="X3" s="23"/>
      <c r="Y3" s="23"/>
      <c r="Z3" s="23"/>
      <c r="AA3" s="23"/>
      <c r="AU3" s="5"/>
    </row>
    <row r="4" spans="1:47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[1]Main!$C$6*F61</f>
        <v>243.98679999999996</v>
      </c>
      <c r="G4" s="19">
        <f>[1]Main!$C$7</f>
        <v>70.177498999999997</v>
      </c>
      <c r="H4" s="17">
        <f>[1]Main!$C$8*F61</f>
        <v>17122.383413013198</v>
      </c>
      <c r="I4" s="17">
        <f>[1]Main!$C$11*F61</f>
        <v>633.04183</v>
      </c>
      <c r="J4" s="17">
        <f>[1]Main!$C$12*F61</f>
        <v>16489.341583013196</v>
      </c>
      <c r="K4" s="5" t="str">
        <f>[1]Main!$C$28</f>
        <v>FQ124</v>
      </c>
      <c r="L4" s="8">
        <f>[1]Main!$D$28</f>
        <v>45078</v>
      </c>
      <c r="M4" s="26">
        <f>'[1]Financial Model'!$AV$27*F61</f>
        <v>143.35824673117642</v>
      </c>
      <c r="N4" s="31">
        <f>'[1]Financial Model'!$AV$29</f>
        <v>-0.4124344155865135</v>
      </c>
      <c r="O4" s="31">
        <f>'[1]Financial Model'!$AV$23</f>
        <v>0.08</v>
      </c>
      <c r="P4" s="8"/>
      <c r="Q4" s="21">
        <f>[1]Main!$C$33</f>
        <v>26.033092688480593</v>
      </c>
      <c r="R4" s="21">
        <f>[1]Main!$C$34</f>
        <v>15.092387958530161</v>
      </c>
      <c r="S4" s="21">
        <f>[1]Main!$C$35</f>
        <v>14.534398298920234</v>
      </c>
      <c r="T4" s="21">
        <f>[1]Main!$C$33</f>
        <v>26.033092688480593</v>
      </c>
      <c r="U4" s="21">
        <f>[1]Main!$C$37</f>
        <v>-61.630763474608322</v>
      </c>
      <c r="V4" s="8"/>
      <c r="W4" s="23">
        <f>'[1]Financial Model'!$AJ$21*$F$61</f>
        <v>-286.68034000000011</v>
      </c>
      <c r="X4" s="23">
        <f>'[1]Financial Model'!$AI$21*F61</f>
        <v>-254.69877999999997</v>
      </c>
      <c r="Y4" s="23">
        <f>'[1]Financial Model'!$AH$15*F61</f>
        <v>-173.72231999999997</v>
      </c>
      <c r="Z4" s="23"/>
      <c r="AA4" s="23"/>
      <c r="AC4" s="18">
        <f>'[1]Financial Model'!$AJ$29</f>
        <v>0.72796486090775991</v>
      </c>
      <c r="AD4" s="18">
        <f>'[1]Financial Model'!$AJ$30</f>
        <v>-0.26997211924862163</v>
      </c>
      <c r="AE4" s="18">
        <f>'[1]Financial Model'!$AJ$31</f>
        <v>-0.26899317778262372</v>
      </c>
      <c r="AF4" s="18">
        <f>'[1]Financial Model'!$AJ$32</f>
        <v>-3.6440672880145464E-2</v>
      </c>
      <c r="AH4" s="18">
        <f>'[1]Financial Model'!$Z$26</f>
        <v>0.35579787912673444</v>
      </c>
      <c r="AI4" s="18">
        <f>'[1]Financial Model'!$AJ$26</f>
        <v>0.46951985735572488</v>
      </c>
      <c r="AJ4" s="18">
        <f>'[1]Financial Model'!$AI$26</f>
        <v>0.48003319895660423</v>
      </c>
      <c r="AO4" s="34">
        <f>[1]Main!$C$26</f>
        <v>3544</v>
      </c>
      <c r="AP4" s="5">
        <f>[1]Main!$C24</f>
        <v>2007</v>
      </c>
      <c r="AQ4" s="5">
        <f>[1]Main!$C$25</f>
        <v>2017</v>
      </c>
      <c r="AR4" s="5" t="str">
        <f>[1]Main!$C$23</f>
        <v>New York City, NY</v>
      </c>
      <c r="AT4" s="5" t="s">
        <v>47</v>
      </c>
      <c r="AU4" s="5" t="s">
        <v>39</v>
      </c>
    </row>
    <row r="5" spans="1:47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[2]Main!$C$6*F61</f>
        <v>1.1619999999999999</v>
      </c>
      <c r="G5" s="17">
        <f>[2]Main!$C$7</f>
        <v>66.483192000000003</v>
      </c>
      <c r="H5" s="17">
        <f>[2]Main!$C$8*F61</f>
        <v>77.25346910399999</v>
      </c>
      <c r="I5" s="17">
        <f>[2]Main!$C$11*F61</f>
        <v>9.8122599999999984</v>
      </c>
      <c r="J5" s="17">
        <f>[2]Main!$C$12*F61</f>
        <v>67.441209103999995</v>
      </c>
      <c r="K5" s="5" t="str">
        <f>[2]Main!$C$28</f>
        <v>Q422</v>
      </c>
      <c r="L5" s="8">
        <f>[2]Main!$D$28</f>
        <v>41306</v>
      </c>
      <c r="N5" s="30"/>
      <c r="O5" s="30"/>
      <c r="P5" s="8"/>
      <c r="Q5" s="21">
        <f>[2]Main!$C$34</f>
        <v>-3.0918082009604722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Model'!$K$28</f>
        <v>0.73721202655212803</v>
      </c>
      <c r="AD5" s="18">
        <f>'[2]Financial Model'!$K$29</f>
        <v>-0.99711050370948873</v>
      </c>
      <c r="AE5" s="18">
        <f>'[2]Financial Model'!$K$30</f>
        <v>-1.0185083951581417</v>
      </c>
      <c r="AF5" s="18">
        <f>'[2]Financial Model'!$K$31</f>
        <v>4.2754619025805463E-3</v>
      </c>
      <c r="AH5" s="18">
        <f>'[2]Financial Model'!$K$25</f>
        <v>0.19672897196261663</v>
      </c>
      <c r="AP5" s="5">
        <f>[2]Main!$C$24</f>
        <v>2010</v>
      </c>
      <c r="AQ5" s="5">
        <f>[2]Main!$C$25</f>
        <v>2022</v>
      </c>
      <c r="AR5" s="5" t="str">
        <f>[2]Main!$C$23</f>
        <v>Redwood City, CA</v>
      </c>
      <c r="AT5" s="5" t="s">
        <v>47</v>
      </c>
      <c r="AU5" s="5" t="s">
        <v>39</v>
      </c>
    </row>
    <row r="6" spans="1:47" x14ac:dyDescent="0.2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U6" s="5"/>
    </row>
    <row r="7" spans="1:47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[3]Main!$C$6*$F$61</f>
        <v>40.6036</v>
      </c>
      <c r="G7" s="17">
        <f>[3]Main!$C$7</f>
        <v>186.40334899999999</v>
      </c>
      <c r="H7" s="17">
        <f>[3]Main!$C$8*$F$61</f>
        <v>7568.6470214563997</v>
      </c>
      <c r="I7" s="17">
        <f>[3]Main!$C$11*F61</f>
        <v>2439.9559800000002</v>
      </c>
      <c r="J7" s="17">
        <f>[3]Main!$C$12*F61</f>
        <v>5128.691041456399</v>
      </c>
      <c r="K7" s="36" t="str">
        <f>[3]Main!$C$28</f>
        <v>Q123</v>
      </c>
      <c r="L7" s="37">
        <f>[3]Main!$D$28</f>
        <v>39934</v>
      </c>
      <c r="M7" s="26">
        <f>'[3]Financial Model'!$AQ$30*F61</f>
        <v>42.439509994080019</v>
      </c>
      <c r="N7" s="31">
        <f>'[3]Financial Model'!$AQ$32</f>
        <v>4.5215448730654861E-2</v>
      </c>
      <c r="O7" s="31">
        <f>'[3]Financial Model'!$AQ$26</f>
        <v>0.08</v>
      </c>
      <c r="P7" s="8"/>
      <c r="Q7" s="21">
        <f>[3]Main!$C$33</f>
        <v>0.88370677873712089</v>
      </c>
      <c r="R7" s="21">
        <f>[3]Main!$C$34</f>
        <v>2.3041822213698371</v>
      </c>
      <c r="S7" s="21">
        <f>[3]Main!$C$35</f>
        <v>1.5613673993675841</v>
      </c>
      <c r="T7" s="21">
        <f>[3]Main!$C$36</f>
        <v>-6.5483454041765832</v>
      </c>
      <c r="U7" s="21">
        <f>[3]Main!$C$37</f>
        <v>-4.4885151734092084</v>
      </c>
      <c r="V7" s="8"/>
      <c r="W7" s="24">
        <f>'[3]Financial Model'!$AD$18*F61</f>
        <v>-1042.6003499999997</v>
      </c>
      <c r="X7" s="23">
        <f>'[3]Financial Model'!$AC$18*$F$61</f>
        <v>-788.41700000000003</v>
      </c>
      <c r="Y7" s="23">
        <f>'[3]Financial Model'!$AB$18*$F$61</f>
        <v>-407.51256999999981</v>
      </c>
      <c r="Z7" s="23">
        <f>'[3]Financial Model'!$AA$18*$F$61</f>
        <v>-254.86228999999994</v>
      </c>
      <c r="AA7" s="23">
        <f>'[3]Financial Model'!$Z$18*F61</f>
        <v>-101.21767</v>
      </c>
      <c r="AC7" s="18">
        <f>'[3]Financial Model'!$W$25</f>
        <v>0.47005177868427206</v>
      </c>
      <c r="AD7" s="18">
        <f>'[3]Financial Model'!W$26</f>
        <v>-0.26236185677214768</v>
      </c>
      <c r="AE7" s="18">
        <f>'[3]Financial Model'!$W$27</f>
        <v>-0.33990784490603682</v>
      </c>
      <c r="AF7" s="18">
        <f>'[3]Financial Model'!$W$28</f>
        <v>-0.01</v>
      </c>
      <c r="AH7" s="18">
        <f>'[3]Financial Model'!$W$22</f>
        <v>0.14988182045619913</v>
      </c>
      <c r="AI7" s="18">
        <f>'[3]Financial Model'!$AD$22</f>
        <v>0.34642426963666861</v>
      </c>
      <c r="AJ7" s="18">
        <f>'[3]Financial Model'!$AC$22</f>
        <v>0.613053532344634</v>
      </c>
      <c r="AK7" s="18">
        <f>'[3]Financial Model'!$AB$22</f>
        <v>0.55295345483521796</v>
      </c>
      <c r="AL7" s="18">
        <f>'[3]Financial Model'!$AA$22</f>
        <v>0.74515549935622039</v>
      </c>
      <c r="AO7" s="34">
        <f>[3]Main!$C$26</f>
        <v>6766</v>
      </c>
      <c r="AP7" s="5">
        <f>[3]Main!$C$24</f>
        <v>2008</v>
      </c>
      <c r="AQ7" s="5">
        <f>[3]Main!$C$25</f>
        <v>2016</v>
      </c>
      <c r="AR7" s="5" t="str">
        <f>[3]Main!$C$23</f>
        <v>San Francisco, CA</v>
      </c>
      <c r="AT7" s="5" t="s">
        <v>47</v>
      </c>
      <c r="AU7" s="5" t="s">
        <v>43</v>
      </c>
    </row>
    <row r="8" spans="1:47" x14ac:dyDescent="0.2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U8" s="5"/>
    </row>
    <row r="9" spans="1:47" x14ac:dyDescent="0.2">
      <c r="B9" s="1" t="s">
        <v>34</v>
      </c>
      <c r="C9" s="6" t="s">
        <v>35</v>
      </c>
      <c r="D9" s="5" t="s">
        <v>30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T9" s="5" t="s">
        <v>15</v>
      </c>
      <c r="AU9" s="5" t="s">
        <v>44</v>
      </c>
    </row>
    <row r="10" spans="1:47" x14ac:dyDescent="0.2">
      <c r="B10" s="1" t="s">
        <v>41</v>
      </c>
      <c r="C10" s="6" t="s">
        <v>42</v>
      </c>
      <c r="D10" s="5" t="s">
        <v>30</v>
      </c>
      <c r="E10" s="5" t="s">
        <v>17</v>
      </c>
      <c r="W10" s="23"/>
      <c r="X10" s="23"/>
      <c r="Y10" s="23"/>
      <c r="Z10" s="23"/>
      <c r="AA10" s="23"/>
      <c r="AT10" s="5" t="s">
        <v>15</v>
      </c>
      <c r="AU10" s="5" t="s">
        <v>45</v>
      </c>
    </row>
    <row r="11" spans="1:47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8.6059999999999999</v>
      </c>
      <c r="G11" s="17">
        <f>[4]Main!$C$7</f>
        <v>1018</v>
      </c>
      <c r="H11" s="17">
        <f>[4]Main!$C$8</f>
        <v>8760.9079999999994</v>
      </c>
      <c r="I11" s="17">
        <f>[4]Main!$C$11</f>
        <v>-685</v>
      </c>
      <c r="J11" s="17">
        <f>[4]Main!$C$12</f>
        <v>9445.9079999999994</v>
      </c>
      <c r="K11" s="5" t="str">
        <f>[4]Main!$C$27</f>
        <v>H123</v>
      </c>
      <c r="L11" s="20">
        <f>[4]Main!$D$27</f>
        <v>45063</v>
      </c>
      <c r="M11" s="26">
        <f>'[4]Financial Model'!$AH$22</f>
        <v>8.1283387836295784</v>
      </c>
      <c r="N11" s="31">
        <f>'[4]Financial Model'!$AH$24</f>
        <v>-5.5503278685849589E-2</v>
      </c>
      <c r="O11" s="31">
        <f>'[4]Financial Model'!$AH$18</f>
        <v>0.05</v>
      </c>
      <c r="P11" s="20"/>
      <c r="Q11" s="21">
        <f>[4]Main!$C$34</f>
        <v>6.7081990811638583</v>
      </c>
      <c r="R11" s="21">
        <f>[4]Main!$C$33</f>
        <v>4.1718609523809524</v>
      </c>
      <c r="S11" s="21">
        <f>[4]Main!$C$35</f>
        <v>4.4980514285714284</v>
      </c>
      <c r="T11" s="21">
        <f>[4]Main!$C$32</f>
        <v>43.413815659068383</v>
      </c>
      <c r="U11" s="21">
        <f>[4]Main!$C$36</f>
        <v>46.761920792079202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Model'!$K$17</f>
        <v>0.93008279668813243</v>
      </c>
      <c r="AD11" s="18">
        <f>'[4]Financial Model'!$K$18</f>
        <v>0.14443422263109476</v>
      </c>
      <c r="AE11" s="18">
        <f>'[4]Financial Model'!$K$19</f>
        <v>9.1996320147194111E-2</v>
      </c>
      <c r="AF11" s="18">
        <f>'[4]Financial Model'!$K$20</f>
        <v>0.2805755395683453</v>
      </c>
      <c r="AH11" s="18">
        <f>'[4]Financial Model'!$K$22</f>
        <v>0.16381156316916479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34">
        <f>[4]Main!$C$26</f>
        <v>11228</v>
      </c>
      <c r="AP11" s="5">
        <f>[4]Main!$C$24</f>
        <v>1981</v>
      </c>
      <c r="AQ11" s="5">
        <f>[4]Main!$C$25</f>
        <v>1989</v>
      </c>
      <c r="AR11" s="5" t="str">
        <f>[4]Main!$C$23</f>
        <v>Newcastle, UK</v>
      </c>
      <c r="AT11" s="5" t="s">
        <v>15</v>
      </c>
      <c r="AU11" s="5" t="s">
        <v>46</v>
      </c>
    </row>
    <row r="12" spans="1:47" x14ac:dyDescent="0.2">
      <c r="B12" s="7"/>
      <c r="F12" s="16"/>
      <c r="W12" s="22"/>
      <c r="AU12" s="5"/>
    </row>
    <row r="13" spans="1:47" x14ac:dyDescent="0.2">
      <c r="B13" s="1" t="s">
        <v>76</v>
      </c>
      <c r="C13" s="6" t="s">
        <v>77</v>
      </c>
      <c r="D13" s="5" t="s">
        <v>33</v>
      </c>
      <c r="E13" s="5" t="s">
        <v>17</v>
      </c>
      <c r="W13" s="22"/>
      <c r="AP13" s="5">
        <v>2002</v>
      </c>
      <c r="AQ13" s="5">
        <v>2015</v>
      </c>
      <c r="AR13" s="5" t="str">
        <f>[3]Main!$C$23</f>
        <v>San Francisco, CA</v>
      </c>
      <c r="AT13" s="5" t="s">
        <v>78</v>
      </c>
      <c r="AU13" s="5" t="s">
        <v>79</v>
      </c>
    </row>
    <row r="14" spans="1:47" x14ac:dyDescent="0.2">
      <c r="W14" s="22"/>
    </row>
    <row r="15" spans="1:47" x14ac:dyDescent="0.2">
      <c r="B15" s="1" t="s">
        <v>48</v>
      </c>
      <c r="C15" s="6" t="s">
        <v>49</v>
      </c>
      <c r="D15" s="5" t="s">
        <v>30</v>
      </c>
      <c r="E15" s="5" t="s">
        <v>17</v>
      </c>
      <c r="W15" s="22"/>
      <c r="AT15" s="5" t="s">
        <v>50</v>
      </c>
      <c r="AU15" s="5" t="s">
        <v>51</v>
      </c>
    </row>
    <row r="16" spans="1:47" x14ac:dyDescent="0.2">
      <c r="B16" s="1" t="s">
        <v>63</v>
      </c>
      <c r="C16" s="6" t="s">
        <v>64</v>
      </c>
      <c r="D16" s="5" t="s">
        <v>33</v>
      </c>
      <c r="E16" s="5" t="s">
        <v>17</v>
      </c>
      <c r="W16" s="22"/>
      <c r="AT16" s="5" t="s">
        <v>50</v>
      </c>
      <c r="AU16" s="5" t="s">
        <v>65</v>
      </c>
    </row>
    <row r="17" spans="2:47" x14ac:dyDescent="0.2">
      <c r="W17" s="22"/>
    </row>
    <row r="18" spans="2:47" x14ac:dyDescent="0.2">
      <c r="W18" s="22"/>
    </row>
    <row r="19" spans="2:47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[5]Main!$C$6*F61</f>
        <v>24.908300000000001</v>
      </c>
      <c r="G19" s="17">
        <f>[5]Main!$C$7</f>
        <v>612.68899999999996</v>
      </c>
      <c r="H19" s="17">
        <f>[5]Main!$C$8*F61</f>
        <v>15261.041418700001</v>
      </c>
      <c r="I19" s="17">
        <f>[5]Main!$C$11*F61</f>
        <v>1676.9552399999998</v>
      </c>
      <c r="J19" s="17">
        <f>[5]Main!$C$12*F61</f>
        <v>13584.086178700001</v>
      </c>
      <c r="K19" s="5" t="str">
        <f>[5]Main!$G$11</f>
        <v>Q223</v>
      </c>
      <c r="L19" s="8">
        <f>[5]Main!$H$11</f>
        <v>40026</v>
      </c>
      <c r="M19" s="26" t="e">
        <f>'[5]Financial Model'!$AS$26*F61</f>
        <v>#VALUE!</v>
      </c>
      <c r="N19" s="31" t="str">
        <f>'[5]Financial Model'!$AS$28</f>
        <v>Projected Upside</v>
      </c>
      <c r="O19" s="31" t="str">
        <f>'[5]Financial Model'!$AS$22</f>
        <v>Discount Rate</v>
      </c>
      <c r="Q19" s="21">
        <f>[5]Main!$G$16</f>
        <v>111.9780565773442</v>
      </c>
      <c r="R19" s="21">
        <f>[5]Main!$G$17</f>
        <v>7.5578091811933561</v>
      </c>
      <c r="S19" s="21">
        <f>[5]Main!$G$19</f>
        <v>6.7273214469950737</v>
      </c>
      <c r="T19" s="21">
        <f>[5]Main!$G$18</f>
        <v>-15.801046113854976</v>
      </c>
      <c r="W19" s="23">
        <f>'[5]Financial Model'!$AA$18*F61</f>
        <v>-417.89669999999995</v>
      </c>
      <c r="X19" s="24">
        <f>'[5]Financial Model'!$Z$18*F61</f>
        <v>-216.47727999999992</v>
      </c>
      <c r="Y19" s="24">
        <f>'[5]Financial Model'!$Y$18*F61</f>
        <v>0</v>
      </c>
      <c r="Z19" s="22" t="s">
        <v>139</v>
      </c>
      <c r="AA19" s="22" t="s">
        <v>139</v>
      </c>
      <c r="AC19" s="18">
        <f>'[5]Financial Model'!$O$22</f>
        <v>0.76830336433994972</v>
      </c>
      <c r="AD19" s="18">
        <f>'[5]Financial Model'!$O$23</f>
        <v>-0.44228222124563565</v>
      </c>
      <c r="AE19" s="18">
        <f>'[5]Financial Model'!$O$24</f>
        <v>-0.41191801557655194</v>
      </c>
      <c r="AF19" s="18">
        <f>'[5]Financial Model'!$O$25</f>
        <v>-2.7152817244081922E-3</v>
      </c>
      <c r="AH19" s="18">
        <f>'[5]Financial Model'!$O$28</f>
        <v>0.22007543741412761</v>
      </c>
      <c r="AI19" s="18">
        <f>'[5]Financial Model'!$AA$28</f>
        <v>1.0772942519902369</v>
      </c>
      <c r="AJ19" s="18">
        <f>'[5]Financial Model'!$Z$28</f>
        <v>0</v>
      </c>
      <c r="AK19" s="18" t="s">
        <v>139</v>
      </c>
      <c r="AL19" s="18" t="s">
        <v>139</v>
      </c>
      <c r="AM19" s="18" t="s">
        <v>139</v>
      </c>
      <c r="AO19" s="34">
        <f>[5]Main!$G$10</f>
        <v>2128</v>
      </c>
      <c r="AP19" s="5">
        <f>[5]Main!$G$8</f>
        <v>2004</v>
      </c>
      <c r="AQ19" s="5">
        <f>[5]Main!$G$7</f>
        <v>2021</v>
      </c>
      <c r="AR19" s="5" t="str">
        <f>[5]Main!$G$6</f>
        <v>San Mateo, CA</v>
      </c>
      <c r="AT19" s="5" t="s">
        <v>60</v>
      </c>
      <c r="AU19" s="5" t="s">
        <v>62</v>
      </c>
    </row>
    <row r="20" spans="2:47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[6]Main!$C$6*F61</f>
        <v>27.7469</v>
      </c>
      <c r="G20" s="17">
        <f>[6]Main!$C$7</f>
        <v>296.01300300000003</v>
      </c>
      <c r="H20" s="17">
        <f>[6]Main!$C$8*F61</f>
        <v>8213.4431929407001</v>
      </c>
      <c r="I20" s="19">
        <f>[6]Main!$C$11*F61</f>
        <v>-436.42229999999995</v>
      </c>
      <c r="J20" s="17">
        <f>[6]Main!$C$12*F61</f>
        <v>8649.8654929407003</v>
      </c>
      <c r="K20" s="25" t="str">
        <f>[6]Main!$C$26</f>
        <v>Q122</v>
      </c>
      <c r="L20" s="25">
        <f>[6]Main!$D$26</f>
        <v>0</v>
      </c>
      <c r="W20" s="22"/>
      <c r="AT20" s="5" t="s">
        <v>60</v>
      </c>
      <c r="AU20" s="5" t="s">
        <v>61</v>
      </c>
    </row>
    <row r="21" spans="2:47" x14ac:dyDescent="0.2">
      <c r="W21" s="22"/>
    </row>
    <row r="22" spans="2:47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[7]Main!$C$6*$F$61</f>
        <v>47.558999999999997</v>
      </c>
      <c r="G22" s="17">
        <f>[7]Main!$C$7</f>
        <v>1276.884726</v>
      </c>
      <c r="H22" s="17">
        <f>[7]Main!$C$8*F61</f>
        <v>60727.360683833998</v>
      </c>
      <c r="I22" s="17">
        <f>[7]Main!$C$11*F61</f>
        <v>3277.6699999999996</v>
      </c>
      <c r="J22" s="17">
        <f>[7]Main!$C$12*F61</f>
        <v>57449.690683833993</v>
      </c>
      <c r="K22" s="36" t="str">
        <f>[7]Main!$C$28</f>
        <v>Q123</v>
      </c>
      <c r="L22" s="37">
        <f>[7]Main!$D$28</f>
        <v>38108</v>
      </c>
      <c r="M22" s="26">
        <f>'[7]Financial Model'!$AQ$28</f>
        <v>27.384105716043681</v>
      </c>
      <c r="N22" s="31">
        <f>'[7]Financial Model'!$AQ$30</f>
        <v>-0.522092395880564</v>
      </c>
      <c r="O22" s="31">
        <f>'[7]Financial Model'!$AQ$24</f>
        <v>7.0000000000000007E-2</v>
      </c>
      <c r="Q22" s="21">
        <f>[7]Main!$C$33</f>
        <v>8.6514715383469305</v>
      </c>
      <c r="R22" s="21">
        <f>[7]Main!$C$34</f>
        <v>12.392023767288633</v>
      </c>
      <c r="S22" s="21">
        <f>[7]Main!$C$35</f>
        <v>11.723182505558293</v>
      </c>
      <c r="T22" s="21">
        <f>[7]Main!$C$36</f>
        <v>-37.814244475197256</v>
      </c>
      <c r="U22" s="21">
        <f>[7]Main!$C$37</f>
        <v>-36.08766106527078</v>
      </c>
      <c r="W22" s="24">
        <f>'[7]Financial Model'!$AD$20*F61</f>
        <v>-2872.1469399999992</v>
      </c>
      <c r="X22" s="24">
        <f>'[7]Financial Model'!$AC$20*F61</f>
        <v>2419.1669699999998</v>
      </c>
      <c r="AC22" s="18">
        <f>'[7]Financial Model'!$W$29</f>
        <v>0.46</v>
      </c>
      <c r="AD22" s="18">
        <f>'[7]Financial Model'!$W$32</f>
        <v>-0.12798408488063662</v>
      </c>
      <c r="AE22" s="18">
        <f>'[7]Financial Model'!$W$33</f>
        <v>4.5092838196286469E-2</v>
      </c>
      <c r="AF22" s="18">
        <f>'[7]Financial Model'!$W$34</f>
        <v>0.10526315789473684</v>
      </c>
      <c r="AH22" s="18">
        <f>'[7]Financial Model'!$W$24</f>
        <v>0.28000000000000003</v>
      </c>
      <c r="AI22" s="18">
        <f>'[7]Financial Model'!$AD$24</f>
        <v>0.21423218764853047</v>
      </c>
      <c r="AJ22" s="18">
        <f>'[7]Financial Model'!$AC$24</f>
        <v>0.57428577182862139</v>
      </c>
      <c r="AO22" s="34">
        <f>[7]Main!$C$26</f>
        <v>11600</v>
      </c>
      <c r="AP22" s="5">
        <f>[7]Main!$C$24</f>
        <v>2004</v>
      </c>
      <c r="AQ22" s="5">
        <f>[7]Main!$C$25</f>
        <v>2015</v>
      </c>
      <c r="AR22" s="5" t="str">
        <f>[7]Main!$C$23</f>
        <v>Ottowa, Canada</v>
      </c>
      <c r="AT22" s="5" t="s">
        <v>84</v>
      </c>
      <c r="AU22" s="5" t="s">
        <v>142</v>
      </c>
    </row>
    <row r="23" spans="2:47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[8]Main!$C$6*F61</f>
        <v>37.640499999999996</v>
      </c>
      <c r="G23" s="19">
        <f>[8]Main!$C$7</f>
        <v>541</v>
      </c>
      <c r="H23" s="17">
        <f>[8]Main!$C$8*F61</f>
        <v>20363.5105</v>
      </c>
      <c r="I23" s="17">
        <f>[8]Main!$C$11*F61</f>
        <v>-3396.3599999999997</v>
      </c>
      <c r="J23" s="17">
        <f>[8]Main!$C$12*F61</f>
        <v>23759.870500000001</v>
      </c>
      <c r="K23" s="5" t="str">
        <f>[8]Main!$C$28</f>
        <v>Q422</v>
      </c>
      <c r="L23" s="8">
        <f>[8]Main!$D$28</f>
        <v>44593</v>
      </c>
      <c r="M23" s="26">
        <f>'[8]Financial Model'!$AW$29*$F$61</f>
        <v>44.140737621104712</v>
      </c>
      <c r="N23" s="31">
        <f>'[8]Financial Model'!$AW$31</f>
        <v>0.17269264810788143</v>
      </c>
      <c r="O23" s="31">
        <f>'[8]Financial Model'!$AW$25</f>
        <v>0.09</v>
      </c>
      <c r="P23" s="8"/>
      <c r="Q23" s="21">
        <f>[8]Main!$C$33</f>
        <v>5.071005480208119</v>
      </c>
      <c r="R23" s="21">
        <f>[8]Main!$C$34</f>
        <v>2.4787179228126894</v>
      </c>
      <c r="S23" s="21">
        <f>[8]Main!$C$35</f>
        <v>2.8921347747019603</v>
      </c>
      <c r="T23" s="21">
        <f>[8]Main!$C$36</f>
        <v>-385.92410461281213</v>
      </c>
      <c r="U23" s="21">
        <f>[8]Main!$C$37</f>
        <v>1022.3696428571429</v>
      </c>
      <c r="V23" s="8"/>
      <c r="W23" s="24">
        <f>'[8]Financial Model'!$AJ$20*F61</f>
        <v>-1053.0625</v>
      </c>
      <c r="X23" s="24">
        <f>'[8]Financial Model'!$AE$20*F61</f>
        <v>-1118.01</v>
      </c>
      <c r="Y23" s="24">
        <f>'[8]Financial Model'!$AD$20*F61</f>
        <v>6030.78</v>
      </c>
      <c r="Z23" s="24">
        <f>'[8]Financial Model'!$AC$20*F61</f>
        <v>1431.75</v>
      </c>
      <c r="AA23" s="24">
        <f>'[8]Financial Model'!$AC$20*G61</f>
        <v>2078.3132530120483</v>
      </c>
      <c r="AC23" s="18">
        <f>'[8]Financial Model'!$Z$27</f>
        <v>0.72868525896414338</v>
      </c>
      <c r="AD23" s="18">
        <f>'[8]Financial Model'!$Z$28</f>
        <v>0.22519920318725101</v>
      </c>
      <c r="AE23" s="18">
        <f>'[8]Financial Model'!$Z$29</f>
        <v>0.26782868525896414</v>
      </c>
      <c r="AF23" s="18">
        <f>'[8]Financial Model'!$Z$30</f>
        <v>0.19053361471208924</v>
      </c>
      <c r="AH23" s="18">
        <f>'[8]Financial Model'!$Z$24</f>
        <v>-3.9418293149636408E-2</v>
      </c>
      <c r="AI23" s="18">
        <f>'[8]Financial Model'!$AJ$24</f>
        <v>-5.9980806142034604E-2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34">
        <f>[8]Main!$C$26</f>
        <v>11600</v>
      </c>
      <c r="AP23" s="5">
        <f>[8]Main!$C$24</f>
        <v>1995</v>
      </c>
      <c r="AQ23" s="5">
        <f>[8]Main!$C$25</f>
        <v>1998</v>
      </c>
      <c r="AR23" s="5" t="str">
        <f>[8]Main!$C$23</f>
        <v>San Jose, CA</v>
      </c>
      <c r="AT23" s="5" t="s">
        <v>84</v>
      </c>
      <c r="AU23" s="5" t="s">
        <v>86</v>
      </c>
    </row>
    <row r="24" spans="2:47" x14ac:dyDescent="0.2">
      <c r="B24" s="1" t="s">
        <v>83</v>
      </c>
      <c r="C24" s="6" t="s">
        <v>138</v>
      </c>
      <c r="D24" s="5" t="s">
        <v>33</v>
      </c>
      <c r="E24" s="5" t="s">
        <v>17</v>
      </c>
      <c r="W24" s="22"/>
      <c r="AT24" s="5" t="s">
        <v>84</v>
      </c>
      <c r="AU24" s="5" t="s">
        <v>118</v>
      </c>
    </row>
    <row r="25" spans="2:47" x14ac:dyDescent="0.2">
      <c r="B25" s="1" t="s">
        <v>89</v>
      </c>
      <c r="C25" s="6" t="s">
        <v>90</v>
      </c>
      <c r="D25" s="5" t="s">
        <v>33</v>
      </c>
      <c r="E25" s="5" t="s">
        <v>17</v>
      </c>
      <c r="W25" s="22"/>
      <c r="AT25" s="5" t="s">
        <v>84</v>
      </c>
      <c r="AU25" s="5"/>
    </row>
    <row r="26" spans="2:47" x14ac:dyDescent="0.2">
      <c r="B26" s="1" t="s">
        <v>91</v>
      </c>
      <c r="C26" s="6" t="s">
        <v>92</v>
      </c>
      <c r="D26" s="5" t="s">
        <v>30</v>
      </c>
      <c r="W26" s="22"/>
      <c r="AT26" s="5" t="s">
        <v>84</v>
      </c>
      <c r="AU26" s="5"/>
    </row>
    <row r="27" spans="2:47" x14ac:dyDescent="0.2">
      <c r="B27" s="1" t="s">
        <v>93</v>
      </c>
      <c r="C27" s="6" t="s">
        <v>94</v>
      </c>
      <c r="D27" s="5" t="s">
        <v>33</v>
      </c>
      <c r="W27" s="22"/>
      <c r="AU27" s="5"/>
    </row>
    <row r="28" spans="2:47" x14ac:dyDescent="0.2">
      <c r="W28" s="22"/>
    </row>
    <row r="29" spans="2:47" x14ac:dyDescent="0.2">
      <c r="W29" s="22"/>
    </row>
    <row r="30" spans="2:47" x14ac:dyDescent="0.2">
      <c r="B30" s="1" t="s">
        <v>66</v>
      </c>
      <c r="C30" s="6" t="s">
        <v>67</v>
      </c>
      <c r="D30" s="5" t="s">
        <v>31</v>
      </c>
      <c r="E30" s="5" t="s">
        <v>16</v>
      </c>
      <c r="W30" s="22"/>
      <c r="AT30" s="5" t="s">
        <v>70</v>
      </c>
    </row>
    <row r="31" spans="2:47" x14ac:dyDescent="0.2">
      <c r="B31" s="1" t="s">
        <v>68</v>
      </c>
      <c r="C31" s="6" t="s">
        <v>69</v>
      </c>
      <c r="D31" s="5" t="s">
        <v>33</v>
      </c>
      <c r="E31" s="5" t="s">
        <v>17</v>
      </c>
      <c r="W31" s="22"/>
      <c r="AT31" s="5" t="s">
        <v>70</v>
      </c>
    </row>
    <row r="32" spans="2:47" x14ac:dyDescent="0.2">
      <c r="W32" s="22"/>
    </row>
    <row r="33" spans="2:47" x14ac:dyDescent="0.2">
      <c r="W33" s="22"/>
    </row>
    <row r="34" spans="2:47" x14ac:dyDescent="0.2">
      <c r="B34" s="1" t="s">
        <v>106</v>
      </c>
      <c r="C34" s="6" t="s">
        <v>107</v>
      </c>
      <c r="D34" s="5" t="s">
        <v>30</v>
      </c>
      <c r="W34" s="22"/>
      <c r="AT34" s="5" t="s">
        <v>84</v>
      </c>
      <c r="AU34" s="5" t="s">
        <v>112</v>
      </c>
    </row>
    <row r="35" spans="2:47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T35" s="5" t="s">
        <v>84</v>
      </c>
      <c r="AU35" s="5" t="s">
        <v>112</v>
      </c>
    </row>
    <row r="36" spans="2:47" x14ac:dyDescent="0.2">
      <c r="B36" s="1" t="s">
        <v>110</v>
      </c>
      <c r="C36" s="6" t="s">
        <v>111</v>
      </c>
      <c r="D36" s="5" t="s">
        <v>30</v>
      </c>
      <c r="W36" s="22"/>
      <c r="AT36" s="5" t="s">
        <v>84</v>
      </c>
      <c r="AU36" s="5" t="s">
        <v>112</v>
      </c>
    </row>
    <row r="37" spans="2:47" x14ac:dyDescent="0.2">
      <c r="W37" s="22"/>
    </row>
    <row r="38" spans="2:47" x14ac:dyDescent="0.2">
      <c r="W38" s="22"/>
    </row>
    <row r="39" spans="2:47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P39" s="5">
        <v>2007</v>
      </c>
      <c r="AQ39" s="5">
        <v>2021</v>
      </c>
      <c r="AR39" s="5" t="s">
        <v>117</v>
      </c>
      <c r="AT39" s="5" t="s">
        <v>116</v>
      </c>
      <c r="AU39" s="5" t="s">
        <v>115</v>
      </c>
    </row>
    <row r="40" spans="2:47" x14ac:dyDescent="0.2">
      <c r="G40" s="19"/>
      <c r="H40" s="17"/>
      <c r="W40" s="22"/>
      <c r="AU40" s="5"/>
    </row>
    <row r="41" spans="2:47" x14ac:dyDescent="0.2">
      <c r="G41" s="19"/>
      <c r="H41" s="17"/>
      <c r="W41" s="22"/>
      <c r="AU41" s="5"/>
    </row>
    <row r="42" spans="2:47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332.82*F61</f>
        <v>276.24059999999997</v>
      </c>
      <c r="G42" s="19">
        <v>445.02</v>
      </c>
      <c r="H42" s="17">
        <f>G42*F42</f>
        <v>122932.59181199998</v>
      </c>
      <c r="W42" s="22"/>
      <c r="AT42" s="5" t="s">
        <v>126</v>
      </c>
      <c r="AU42" s="5" t="s">
        <v>124</v>
      </c>
    </row>
    <row r="43" spans="2:47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92.06*F61</f>
        <v>76.409800000000004</v>
      </c>
      <c r="G43" s="19">
        <v>193.13</v>
      </c>
      <c r="H43" s="17">
        <f>G43*F43</f>
        <v>14757.024674</v>
      </c>
      <c r="W43" s="22"/>
      <c r="AT43" s="5" t="s">
        <v>126</v>
      </c>
      <c r="AU43" s="5" t="s">
        <v>125</v>
      </c>
    </row>
    <row r="44" spans="2:47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T44" s="5" t="s">
        <v>136</v>
      </c>
      <c r="AU44" s="5" t="s">
        <v>137</v>
      </c>
    </row>
    <row r="45" spans="2:47" x14ac:dyDescent="0.2">
      <c r="G45" s="19"/>
      <c r="H45" s="17"/>
      <c r="W45" s="22"/>
      <c r="AU45" s="5"/>
    </row>
    <row r="46" spans="2:47" x14ac:dyDescent="0.2">
      <c r="B46" s="7" t="s">
        <v>162</v>
      </c>
      <c r="C46" s="6" t="s">
        <v>163</v>
      </c>
      <c r="D46" s="5" t="s">
        <v>33</v>
      </c>
      <c r="E46" s="5" t="s">
        <v>17</v>
      </c>
      <c r="F46" s="16">
        <f>[9]Main!$C$6*F61</f>
        <v>56.913099999999993</v>
      </c>
      <c r="G46" s="19">
        <f>[9]Main!$C$7</f>
        <v>293.836386</v>
      </c>
      <c r="H46" s="17">
        <f>[9]Main!$C$8*F61</f>
        <v>16723.139620056598</v>
      </c>
      <c r="I46" s="17">
        <f>[9]Main!$C$11*F61</f>
        <v>4492.51278</v>
      </c>
      <c r="J46" s="17">
        <f>[9]Main!$C$12*F61</f>
        <v>12230.626840056597</v>
      </c>
      <c r="K46" s="8" t="str">
        <f>[9]Main!$C$29</f>
        <v>Q422</v>
      </c>
      <c r="L46" s="8">
        <f>[9]Main!$D$29</f>
        <v>37681</v>
      </c>
      <c r="Q46" s="21">
        <f>[9]Main!$C$34</f>
        <v>2.9780786109979251</v>
      </c>
      <c r="T46" s="21">
        <f>[9]Main!$C$37</f>
        <v>178.2237520954381</v>
      </c>
      <c r="W46" s="24">
        <f>'[9]Financial Model'!$AD$16*F61</f>
        <v>86.080130000000082</v>
      </c>
      <c r="X46" s="24">
        <f>'[9]Financial Model'!$AC$16*F61</f>
        <v>1141.7803699999995</v>
      </c>
      <c r="Y46" s="24">
        <f>'[9]Financial Model'!$AB$16*F61</f>
        <v>558.02228000000002</v>
      </c>
      <c r="AC46" s="18">
        <f>'[9]Financial Model'!$AD$23</f>
        <v>0.74949669471153846</v>
      </c>
      <c r="AD46" s="18">
        <f>'[9]Financial Model'!$AD$24</f>
        <v>5.5868708114801886E-2</v>
      </c>
      <c r="AE46" s="18">
        <f>'[9]Financial Model'!$AD$25</f>
        <v>2.3608455346736619E-2</v>
      </c>
      <c r="AF46" s="18">
        <f>'[9]Financial Model'!$AD$26</f>
        <v>0.58395112245061676</v>
      </c>
      <c r="AI46" s="18">
        <f>'[9]Financial Model'!$AD$20</f>
        <v>7.1489200617386395E-2</v>
      </c>
      <c r="AJ46" s="18">
        <f>'[9]Financial Model'!$AC$20</f>
        <v>0.54632023921236117</v>
      </c>
      <c r="AO46" s="34">
        <f>[9]Main!$C$27</f>
        <v>8484</v>
      </c>
      <c r="AP46" s="5">
        <f>[9]Main!$C$24</f>
        <v>2011</v>
      </c>
      <c r="AQ46" s="5">
        <f>[9]Main!$C$25</f>
        <v>2019</v>
      </c>
      <c r="AR46" s="5" t="str">
        <f>[9]Main!$C$23</f>
        <v>San Jose, CA</v>
      </c>
      <c r="AT46" s="5" t="s">
        <v>164</v>
      </c>
      <c r="AU46" s="5" t="s">
        <v>165</v>
      </c>
    </row>
    <row r="47" spans="2:47" x14ac:dyDescent="0.2">
      <c r="G47" s="19"/>
      <c r="H47" s="17"/>
      <c r="W47" s="22"/>
      <c r="AU47" s="5"/>
    </row>
    <row r="48" spans="2:47" x14ac:dyDescent="0.2">
      <c r="B48" s="1" t="s">
        <v>130</v>
      </c>
      <c r="C48" s="6" t="s">
        <v>128</v>
      </c>
      <c r="D48" s="5" t="s">
        <v>135</v>
      </c>
      <c r="G48" s="19"/>
      <c r="H48" s="17"/>
      <c r="W48" s="22"/>
      <c r="AU48" s="5"/>
    </row>
    <row r="49" spans="2:47" x14ac:dyDescent="0.2">
      <c r="B49" s="1" t="s">
        <v>131</v>
      </c>
      <c r="C49" s="6" t="s">
        <v>127</v>
      </c>
      <c r="D49" s="5" t="s">
        <v>31</v>
      </c>
      <c r="G49" s="19"/>
      <c r="H49" s="17"/>
      <c r="W49" s="22"/>
      <c r="AU49" s="5"/>
    </row>
    <row r="50" spans="2:47" x14ac:dyDescent="0.2">
      <c r="B50" s="1" t="s">
        <v>132</v>
      </c>
      <c r="C50" s="6" t="s">
        <v>129</v>
      </c>
      <c r="D50" s="5" t="s">
        <v>31</v>
      </c>
      <c r="G50" s="19"/>
      <c r="H50" s="17"/>
      <c r="W50" s="22"/>
      <c r="AU50" s="5"/>
    </row>
    <row r="51" spans="2:47" x14ac:dyDescent="0.2">
      <c r="G51" s="19"/>
      <c r="H51" s="17"/>
      <c r="W51" s="22"/>
      <c r="AU51" s="5"/>
    </row>
    <row r="52" spans="2:47" x14ac:dyDescent="0.2">
      <c r="G52" s="19"/>
      <c r="H52" s="17"/>
      <c r="W52" s="22"/>
      <c r="AU52" s="5"/>
    </row>
    <row r="53" spans="2:47" x14ac:dyDescent="0.2">
      <c r="G53" s="19"/>
      <c r="H53" s="17"/>
      <c r="W53" s="22"/>
      <c r="AU53" s="5"/>
    </row>
    <row r="54" spans="2:47" x14ac:dyDescent="0.2">
      <c r="G54" s="19"/>
      <c r="H54" s="17"/>
      <c r="W54" s="22"/>
      <c r="AU54" s="5"/>
    </row>
    <row r="55" spans="2:47" x14ac:dyDescent="0.2">
      <c r="B55" s="7" t="s">
        <v>150</v>
      </c>
      <c r="C55" s="6" t="s">
        <v>154</v>
      </c>
      <c r="D55" s="5" t="s">
        <v>33</v>
      </c>
      <c r="E55" s="5" t="s">
        <v>17</v>
      </c>
      <c r="F55" s="16">
        <f>[10]Main!$C$6*$F$61</f>
        <v>213.21039999999999</v>
      </c>
      <c r="G55" s="33">
        <f>[10]Main!$C$7</f>
        <v>7440</v>
      </c>
      <c r="H55" s="33">
        <f>[10]Main!$C$12*$F$61</f>
        <v>1586285.3759999999</v>
      </c>
      <c r="I55" s="33">
        <f>[10]Main!$C$11*$F$61</f>
        <v>0</v>
      </c>
      <c r="J55" s="33">
        <f>[10]Main!$C$12*$F$61</f>
        <v>1586285.3759999999</v>
      </c>
      <c r="K55" s="5">
        <f>[10]Main!$C$29</f>
        <v>0</v>
      </c>
      <c r="L55" s="5">
        <f>[10]Main!$D$29</f>
        <v>0</v>
      </c>
      <c r="W55" s="22"/>
      <c r="AP55" s="5">
        <f>[10]Main!$C$24</f>
        <v>1975</v>
      </c>
      <c r="AQ55" s="5">
        <f>[10]Main!$C$25</f>
        <v>1986</v>
      </c>
      <c r="AR55" s="5" t="str">
        <f>[10]Main!$C$23</f>
        <v>Redmond, WA</v>
      </c>
      <c r="AT55" s="5" t="s">
        <v>156</v>
      </c>
      <c r="AU55" s="5" t="s">
        <v>155</v>
      </c>
    </row>
    <row r="56" spans="2:47" x14ac:dyDescent="0.2">
      <c r="B56" s="7" t="s">
        <v>151</v>
      </c>
      <c r="C56" s="6" t="s">
        <v>160</v>
      </c>
      <c r="D56" s="5" t="s">
        <v>33</v>
      </c>
      <c r="E56" s="5" t="s">
        <v>17</v>
      </c>
      <c r="F56" s="16">
        <f>[11]Main!$C$6*$F$61</f>
        <v>79.231799999999993</v>
      </c>
      <c r="G56" s="33">
        <f>[11]Main!$C$7</f>
        <v>13523</v>
      </c>
      <c r="H56" s="33">
        <f>[11]Main!$C$8*$F$61</f>
        <v>1071451.6313999998</v>
      </c>
      <c r="I56" s="33">
        <f>[11]Main!$C$11*$F$61</f>
        <v>0</v>
      </c>
      <c r="J56" s="33">
        <f>[11]Main!$C$12*$F$61</f>
        <v>1071451.6313999998</v>
      </c>
      <c r="K56" s="5">
        <f>[11]Main!$C$28</f>
        <v>0</v>
      </c>
      <c r="L56" s="5">
        <f>[11]Main!$D$28</f>
        <v>0</v>
      </c>
      <c r="W56" s="22"/>
      <c r="AP56" s="5">
        <f>[11]Main!$C$24</f>
        <v>1998</v>
      </c>
      <c r="AQ56" s="5">
        <f>[11]Main!$C$25</f>
        <v>2004</v>
      </c>
      <c r="AR56" s="5" t="str">
        <f>[11]Main!$C$23</f>
        <v>Mountain View, CA</v>
      </c>
      <c r="AT56" s="5" t="s">
        <v>156</v>
      </c>
      <c r="AU56" s="5" t="s">
        <v>158</v>
      </c>
    </row>
    <row r="57" spans="2:47" x14ac:dyDescent="0.2">
      <c r="B57" s="1" t="s">
        <v>152</v>
      </c>
      <c r="D57" s="5" t="s">
        <v>33</v>
      </c>
      <c r="E57" s="5" t="s">
        <v>17</v>
      </c>
      <c r="AT57" s="5" t="s">
        <v>116</v>
      </c>
      <c r="AU57" s="5" t="s">
        <v>157</v>
      </c>
    </row>
    <row r="58" spans="2:47" x14ac:dyDescent="0.2">
      <c r="B58" s="1" t="s">
        <v>153</v>
      </c>
      <c r="D58" s="5" t="s">
        <v>33</v>
      </c>
      <c r="E58" s="5" t="s">
        <v>17</v>
      </c>
      <c r="AT58" s="5" t="s">
        <v>156</v>
      </c>
      <c r="AU58" s="5" t="s">
        <v>159</v>
      </c>
    </row>
    <row r="60" spans="2:47" x14ac:dyDescent="0.2">
      <c r="E60" s="38" t="s">
        <v>25</v>
      </c>
      <c r="F60" s="39"/>
      <c r="G60" s="9" t="s">
        <v>26</v>
      </c>
    </row>
    <row r="61" spans="2:47" x14ac:dyDescent="0.2">
      <c r="E61" s="10" t="s">
        <v>27</v>
      </c>
      <c r="F61" s="11">
        <v>0.83</v>
      </c>
      <c r="G61" s="12">
        <f>1/F61</f>
        <v>1.2048192771084338</v>
      </c>
    </row>
    <row r="62" spans="2:47" x14ac:dyDescent="0.2">
      <c r="E62" s="13" t="s">
        <v>28</v>
      </c>
      <c r="F62" s="14">
        <v>0.87</v>
      </c>
      <c r="G62" s="15">
        <f>1/F62</f>
        <v>1.1494252873563218</v>
      </c>
    </row>
  </sheetData>
  <mergeCells count="3">
    <mergeCell ref="E60:F60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5" r:id="rId9" xr:uid="{46DC7469-9CFC-4610-A22B-3D4E075DFC99}"/>
    <hyperlink ref="B56" r:id="rId10" xr:uid="{1F04985A-EB8E-4ED3-BC5F-B6E427A61566}"/>
    <hyperlink ref="B46" r:id="rId11" xr:uid="{C2513205-805A-4E29-899C-EDFC3E7F9BF4}"/>
  </hyperlinks>
  <pageMargins left="0.7" right="0.7" top="0.75" bottom="0.75" header="0.3" footer="0.3"/>
  <pageSetup paperSize="256" orientation="portrait" horizontalDpi="203" verticalDpi="203" r:id="rId12"/>
  <ignoredErrors>
    <ignoredError sqref="I5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2023-08-22T12:24:44Z</dcterms:modified>
</cp:coreProperties>
</file>