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5486FAF5-6096-4EEF-B13D-E80D6488104C}" xr6:coauthVersionLast="36" xr6:coauthVersionMax="47" xr10:uidLastSave="{00000000-0000-0000-0000-000000000000}"/>
  <bookViews>
    <workbookView xWindow="0" yWindow="495" windowWidth="33600" windowHeight="18900" activeTab="1" xr2:uid="{85ED5A08-D60F-4D3D-80D1-1AAE2F03FFA2}"/>
  </bookViews>
  <sheets>
    <sheet name="Main" sheetId="2" r:id="rId1"/>
    <sheet name="Financial Model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6" i="1" l="1"/>
  <c r="I36" i="1"/>
  <c r="H36" i="1"/>
  <c r="G36" i="1"/>
  <c r="F36" i="1"/>
  <c r="E36" i="1"/>
  <c r="D36" i="1"/>
  <c r="C36" i="1"/>
  <c r="K36" i="1"/>
  <c r="J35" i="1"/>
  <c r="I35" i="1"/>
  <c r="H35" i="1"/>
  <c r="G35" i="1"/>
  <c r="F35" i="1"/>
  <c r="E35" i="1"/>
  <c r="D35" i="1"/>
  <c r="C35" i="1"/>
  <c r="K35" i="1"/>
  <c r="J34" i="1"/>
  <c r="I34" i="1"/>
  <c r="H34" i="1"/>
  <c r="G34" i="1"/>
  <c r="F34" i="1"/>
  <c r="E34" i="1"/>
  <c r="D34" i="1"/>
  <c r="C34" i="1"/>
  <c r="K34" i="1"/>
  <c r="J5" i="1" l="1"/>
  <c r="J3" i="1"/>
  <c r="J4" i="1"/>
  <c r="F21" i="1" l="1"/>
  <c r="F16" i="1"/>
  <c r="F17" i="1" s="1"/>
  <c r="F15" i="1"/>
  <c r="F13" i="1"/>
  <c r="F12" i="1"/>
  <c r="F9" i="1"/>
  <c r="F8" i="1"/>
  <c r="F7" i="1"/>
  <c r="F10" i="1" s="1"/>
  <c r="F5" i="1"/>
  <c r="F4" i="1"/>
  <c r="F3" i="1"/>
  <c r="F11" i="1" s="1"/>
  <c r="F6" i="1" l="1"/>
  <c r="C19" i="1"/>
  <c r="F14" i="1" l="1"/>
  <c r="C17" i="1"/>
  <c r="C13" i="1"/>
  <c r="C12" i="1"/>
  <c r="C11" i="1"/>
  <c r="C10" i="1"/>
  <c r="C6" i="1"/>
  <c r="F18" i="1" l="1"/>
  <c r="F33" i="1"/>
  <c r="C14" i="1"/>
  <c r="C33" i="1"/>
  <c r="C18" i="1"/>
  <c r="C20" i="1" s="1"/>
  <c r="C22" i="1" s="1"/>
  <c r="C24" i="1" s="1"/>
  <c r="C25" i="1" s="1"/>
  <c r="J21" i="1"/>
  <c r="J16" i="1"/>
  <c r="J15" i="1"/>
  <c r="J9" i="1"/>
  <c r="J8" i="1"/>
  <c r="J7" i="1"/>
  <c r="G19" i="1"/>
  <c r="G11" i="1"/>
  <c r="D19" i="1"/>
  <c r="D11" i="1"/>
  <c r="D17" i="1"/>
  <c r="D13" i="1"/>
  <c r="D12" i="1"/>
  <c r="D10" i="1"/>
  <c r="D6" i="1"/>
  <c r="D28" i="1" s="1"/>
  <c r="H19" i="1"/>
  <c r="H17" i="1"/>
  <c r="H13" i="1"/>
  <c r="H12" i="1"/>
  <c r="H11" i="1"/>
  <c r="H10" i="1"/>
  <c r="H6" i="1"/>
  <c r="I19" i="1"/>
  <c r="E19" i="1"/>
  <c r="E6" i="1"/>
  <c r="E10" i="1"/>
  <c r="E11" i="1"/>
  <c r="E12" i="1"/>
  <c r="E13" i="1"/>
  <c r="E17" i="1"/>
  <c r="I17" i="1"/>
  <c r="I13" i="1"/>
  <c r="I12" i="1"/>
  <c r="I11" i="1"/>
  <c r="I10" i="1"/>
  <c r="I6" i="1"/>
  <c r="I28" i="1" s="1"/>
  <c r="G17" i="1"/>
  <c r="G13" i="1"/>
  <c r="G12" i="1"/>
  <c r="G10" i="1"/>
  <c r="G6" i="1"/>
  <c r="C10" i="2"/>
  <c r="C9" i="2"/>
  <c r="C11" i="2"/>
  <c r="C7" i="2"/>
  <c r="C8" i="2" s="1"/>
  <c r="G28" i="1" l="1"/>
  <c r="G29" i="1"/>
  <c r="E28" i="1"/>
  <c r="F28" i="1"/>
  <c r="F19" i="1"/>
  <c r="F20" i="1"/>
  <c r="F22" i="1" s="1"/>
  <c r="F24" i="1" s="1"/>
  <c r="F25" i="1" s="1"/>
  <c r="J19" i="1"/>
  <c r="H28" i="1"/>
  <c r="J6" i="1"/>
  <c r="J13" i="1"/>
  <c r="J17" i="1"/>
  <c r="J12" i="1"/>
  <c r="J11" i="1"/>
  <c r="J10" i="1"/>
  <c r="I29" i="1"/>
  <c r="H29" i="1"/>
  <c r="D14" i="1"/>
  <c r="H14" i="1"/>
  <c r="H33" i="1" s="1"/>
  <c r="H18" i="1"/>
  <c r="H20" i="1" s="1"/>
  <c r="H22" i="1" s="1"/>
  <c r="H24" i="1" s="1"/>
  <c r="H25" i="1" s="1"/>
  <c r="I14" i="1"/>
  <c r="I33" i="1" s="1"/>
  <c r="E14" i="1"/>
  <c r="E33" i="1" s="1"/>
  <c r="G14" i="1"/>
  <c r="G33" i="1" s="1"/>
  <c r="C12" i="2"/>
  <c r="K19" i="1"/>
  <c r="K17" i="1"/>
  <c r="K13" i="1"/>
  <c r="K12" i="1"/>
  <c r="K11" i="1"/>
  <c r="K10" i="1"/>
  <c r="K6" i="1"/>
  <c r="J14" i="1" l="1"/>
  <c r="J18" i="1" s="1"/>
  <c r="J20" i="1" s="1"/>
  <c r="J28" i="1"/>
  <c r="K28" i="1"/>
  <c r="J29" i="1"/>
  <c r="D33" i="1"/>
  <c r="D18" i="1"/>
  <c r="D20" i="1" s="1"/>
  <c r="D22" i="1" s="1"/>
  <c r="D24" i="1" s="1"/>
  <c r="D25" i="1" s="1"/>
  <c r="I18" i="1"/>
  <c r="I20" i="1" s="1"/>
  <c r="I22" i="1" s="1"/>
  <c r="I24" i="1" s="1"/>
  <c r="I25" i="1" s="1"/>
  <c r="E18" i="1"/>
  <c r="E20" i="1" s="1"/>
  <c r="G18" i="1"/>
  <c r="G20" i="1" s="1"/>
  <c r="G22" i="1" s="1"/>
  <c r="G24" i="1" s="1"/>
  <c r="G25" i="1" s="1"/>
  <c r="K14" i="1"/>
  <c r="K29" i="1"/>
  <c r="J33" i="1" l="1"/>
  <c r="J22" i="1"/>
  <c r="J24" i="1" s="1"/>
  <c r="J25" i="1" s="1"/>
  <c r="E22" i="1"/>
  <c r="E24" i="1" s="1"/>
  <c r="E25" i="1" s="1"/>
  <c r="K33" i="1"/>
  <c r="K18" i="1"/>
  <c r="K20" i="1" s="1"/>
  <c r="K22" i="1" s="1"/>
  <c r="K24" i="1" s="1"/>
  <c r="K25" i="1" s="1"/>
</calcChain>
</file>

<file path=xl/sharedStrings.xml><?xml version="1.0" encoding="utf-8"?>
<sst xmlns="http://schemas.openxmlformats.org/spreadsheetml/2006/main" count="56" uniqueCount="51">
  <si>
    <t>Q121</t>
  </si>
  <si>
    <t>Q221</t>
  </si>
  <si>
    <t>Q321</t>
  </si>
  <si>
    <t>Q421</t>
  </si>
  <si>
    <t>Services</t>
  </si>
  <si>
    <t>Q122</t>
  </si>
  <si>
    <t>Revenue</t>
  </si>
  <si>
    <t>Sales</t>
  </si>
  <si>
    <t>Financing</t>
  </si>
  <si>
    <t>Gross Profit</t>
  </si>
  <si>
    <t>Sales Cost</t>
  </si>
  <si>
    <t>Financing Cost</t>
  </si>
  <si>
    <t>Services Cost</t>
  </si>
  <si>
    <t>Total COGS</t>
  </si>
  <si>
    <t>Services GM</t>
  </si>
  <si>
    <t>Sales GM</t>
  </si>
  <si>
    <t>Financing GM</t>
  </si>
  <si>
    <t>SG&amp;A</t>
  </si>
  <si>
    <t>R&amp;D</t>
  </si>
  <si>
    <t>Operating Expenses</t>
  </si>
  <si>
    <t>Operating Income (EBITDA)</t>
  </si>
  <si>
    <t>Other Income</t>
  </si>
  <si>
    <t>Pretax Income</t>
  </si>
  <si>
    <t>Taxes</t>
  </si>
  <si>
    <t>Net Income</t>
  </si>
  <si>
    <t>Income from Continuing Operations</t>
  </si>
  <si>
    <t>income from Discontinued Operations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</si>
  <si>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</si>
  <si>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</si>
  <si>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</si>
  <si>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</si>
  <si>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</si>
  <si>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</si>
  <si>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</si>
  <si>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</si>
  <si>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$IBM</t>
  </si>
  <si>
    <t>International Business Machines Corporation</t>
  </si>
  <si>
    <t>EPS</t>
  </si>
  <si>
    <t>Q222</t>
  </si>
  <si>
    <t>Q322</t>
  </si>
  <si>
    <t>Q422</t>
  </si>
  <si>
    <t>Revenue Y/Y</t>
  </si>
  <si>
    <t>Q420</t>
  </si>
  <si>
    <t>Q320</t>
  </si>
  <si>
    <t>Q220</t>
  </si>
  <si>
    <t>Q120</t>
  </si>
  <si>
    <t>Revenue Q/Q</t>
  </si>
  <si>
    <t>Operating Margin %</t>
  </si>
  <si>
    <t>Gross Margin %</t>
  </si>
  <si>
    <t>Net Margin %</t>
  </si>
  <si>
    <t>Taxes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</si>
</sst>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32">
    <xf numFmtId="0" fontId="0" fillId="0" borderId="0" xfId="0"/>
    <xf numFmtId="3" fontId="0" fillId="0" borderId="0" xfId="0" applyNumberFormat="1"/>
    <xf numFmtId="3" fontId="2" fillId="0" borderId="0" xfId="0" applyNumberFormat="1" applyFont="1"/>
    <xf numFmtId="3" fontId="0" fillId="0" borderId="0" xfId="0" applyNumberFormat="1" applyFont="1"/>
    <xf numFmtId="0" fontId="2" fillId="0" borderId="0" xfId="0" applyFont="1"/>
    <xf numFmtId="9" fontId="0" fillId="0" borderId="0" xfId="1" applyFont="1"/>
    <xf numFmtId="2" fontId="0" fillId="0" borderId="0" xfId="0" applyNumberFormat="1"/>
    <xf numFmtId="0" fontId="2" fillId="0" borderId="0" xfId="0" applyFont="1" applyAlignment="1">
      <alignment horizontal="right"/>
    </xf>
    <xf numFmtId="0" fontId="1" fillId="0" borderId="0" xfId="0" applyFont="1"/>
    <xf numFmtId="0" fontId="3" fillId="0" borderId="0" xfId="0" applyFont="1"/>
    <xf numFmtId="0" fontId="4" fillId="0" borderId="0" xfId="0" applyFont="1"/>
    <xf numFmtId="0" fontId="2" fillId="4" borderId="4" xfId="0" applyFont="1" applyFill="1" applyBorder="1"/>
    <xf numFmtId="164" fontId="1" fillId="0" borderId="0" xfId="0" applyNumberFormat="1" applyFont="1"/>
    <xf numFmtId="0" fontId="1" fillId="0" borderId="5" xfId="2" applyFont="1" applyFill="1" applyBorder="1"/>
    <xf numFmtId="164" fontId="1" fillId="0" borderId="5" xfId="0" applyNumberFormat="1" applyFont="1" applyBorder="1"/>
    <xf numFmtId="0" fontId="2" fillId="4" borderId="6" xfId="0" applyFont="1" applyFill="1" applyBorder="1"/>
    <xf numFmtId="164" fontId="1" fillId="0" borderId="7" xfId="0" applyNumberFormat="1" applyFont="1" applyBorder="1"/>
    <xf numFmtId="164" fontId="1" fillId="0" borderId="8" xfId="0" applyNumberFormat="1" applyFont="1" applyBorder="1"/>
    <xf numFmtId="0" fontId="0" fillId="0" borderId="5" xfId="2" applyFont="1" applyFill="1" applyBorder="1" applyAlignment="1">
      <alignment horizontal="right"/>
    </xf>
    <xf numFmtId="164" fontId="0" fillId="0" borderId="0" xfId="0" applyNumberFormat="1"/>
    <xf numFmtId="9" fontId="2" fillId="0" borderId="0" xfId="1" applyNumberFormat="1" applyFont="1"/>
    <xf numFmtId="1" fontId="0" fillId="0" borderId="0" xfId="0" applyNumberFormat="1"/>
    <xf numFmtId="3" fontId="5" fillId="0" borderId="0" xfId="0" applyNumberFormat="1" applyFont="1"/>
    <xf numFmtId="3" fontId="6" fillId="0" borderId="0" xfId="0" applyNumberFormat="1" applyFont="1"/>
    <xf numFmtId="0" fontId="5" fillId="0" borderId="0" xfId="0" applyFont="1"/>
    <xf numFmtId="2" fontId="5" fillId="0" borderId="0" xfId="0" applyNumberFormat="1" applyFont="1"/>
    <xf numFmtId="9" fontId="5" fillId="0" borderId="0" xfId="1" applyFont="1"/>
    <xf numFmtId="9" fontId="6" fillId="0" borderId="0" xfId="1" applyNumberFormat="1" applyFont="1"/>
    <xf numFmtId="9" fontId="0" fillId="0" borderId="0" xfId="0" applyNumberFormat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</cellXfs>
  <cellStyles count="3">
    <cellStyle name="20% - Accent3" xfId="2" builtinId="3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68485</xdr:colOff>
      <xdr:row>1</xdr:row>
      <xdr:rowOff>28577</xdr:rowOff>
    </xdr:from>
    <xdr:to>
      <xdr:col>9</xdr:col>
      <xdr:colOff>161924</xdr:colOff>
      <xdr:row>4</xdr:row>
      <xdr:rowOff>171451</xdr:rowOff>
    </xdr:to>
    <xdr:pic>
      <xdr:nvPicPr>
        <xdr:cNvPr id="3" name="Picture 2" descr="IBM logo.svg">
          <a:extLst>
            <a:ext uri="{FF2B5EF4-FFF2-40B4-BE49-F238E27FC236}">
              <a16:creationId xmlns:a16="http://schemas.microsoft.com/office/drawing/2014/main" id="{121BE641-3ECF-49D0-B9F7-5EED5E49DC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6085" y="219077"/>
          <a:ext cx="1922239" cy="7715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0</xdr:row>
      <xdr:rowOff>19050</xdr:rowOff>
    </xdr:from>
    <xdr:to>
      <xdr:col>11</xdr:col>
      <xdr:colOff>19050</xdr:colOff>
      <xdr:row>37</xdr:row>
      <xdr:rowOff>38100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A7887A0-7925-46D1-95F7-06BACC1E48CD}"/>
            </a:ext>
          </a:extLst>
        </xdr:cNvPr>
        <xdr:cNvCxnSpPr/>
      </xdr:nvCxnSpPr>
      <xdr:spPr>
        <a:xfrm>
          <a:off x="6915150" y="19050"/>
          <a:ext cx="0" cy="74485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3F497-3B27-4EB1-B868-40E22F1C7745}">
  <dimension ref="A1:G17"/>
  <sheetViews>
    <sheetView workbookViewId="0">
      <selection activeCell="C11" sqref="C11"/>
    </sheetView>
  </sheetViews>
  <sheetFormatPr defaultColWidth="8.85546875" defaultRowHeight="15" x14ac:dyDescent="0.25"/>
  <sheetData>
    <row r="1" spans="1:7" x14ac:dyDescent="0.25">
      <c r="A1" s="8"/>
      <c r="B1" s="8"/>
      <c r="C1" s="8"/>
      <c r="D1" s="8"/>
      <c r="E1" s="8"/>
      <c r="F1" s="8"/>
      <c r="G1" s="8"/>
    </row>
    <row r="2" spans="1:7" ht="18.75" x14ac:dyDescent="0.3">
      <c r="A2" s="8"/>
      <c r="B2" s="9" t="s">
        <v>35</v>
      </c>
      <c r="C2" s="8"/>
      <c r="D2" s="8"/>
      <c r="E2" s="8"/>
      <c r="F2" s="8"/>
      <c r="G2" s="8"/>
    </row>
    <row r="3" spans="1:7" ht="15.75" x14ac:dyDescent="0.25">
      <c r="A3" s="8"/>
      <c r="B3" s="10" t="s">
        <v>36</v>
      </c>
      <c r="C3" s="8"/>
      <c r="D3" s="8"/>
      <c r="E3" s="8"/>
      <c r="F3" s="8"/>
      <c r="G3" s="8"/>
    </row>
    <row r="4" spans="1:7" x14ac:dyDescent="0.25">
      <c r="A4" s="8"/>
      <c r="B4" s="8"/>
      <c r="C4" s="8"/>
      <c r="D4" s="8"/>
      <c r="E4" s="8"/>
      <c r="F4" s="8"/>
      <c r="G4" s="8"/>
    </row>
    <row r="5" spans="1:7" x14ac:dyDescent="0.25">
      <c r="A5" s="8"/>
      <c r="B5" s="29" t="s">
        <v>27</v>
      </c>
      <c r="C5" s="30"/>
      <c r="D5" s="31"/>
      <c r="E5" s="8"/>
      <c r="F5" s="8"/>
      <c r="G5" s="8"/>
    </row>
    <row r="6" spans="1:7" x14ac:dyDescent="0.25">
      <c r="A6" s="8"/>
      <c r="B6" s="11" t="s">
        <v>28</v>
      </c>
      <c r="C6" s="12">
        <v>137.58000000000001</v>
      </c>
      <c r="D6" s="13"/>
      <c r="E6" s="8"/>
      <c r="F6" s="8"/>
      <c r="G6" s="8"/>
    </row>
    <row r="7" spans="1:7" x14ac:dyDescent="0.25">
      <c r="A7" s="8"/>
      <c r="B7" s="11" t="s">
        <v>29</v>
      </c>
      <c r="C7" s="6">
        <f>2250.139983-1350.704659</f>
        <v>899.43532400000004</v>
      </c>
      <c r="D7" s="18" t="s">
        <v>5</v>
      </c>
      <c r="E7" s="8"/>
      <c r="F7" s="8"/>
      <c r="G7" s="8"/>
    </row>
    <row r="8" spans="1:7" x14ac:dyDescent="0.25">
      <c r="A8" s="8"/>
      <c r="B8" s="11" t="s">
        <v>30</v>
      </c>
      <c r="C8" s="12">
        <f>C6*C7</f>
        <v>123744.31187592002</v>
      </c>
      <c r="D8" s="14"/>
      <c r="E8" s="8"/>
      <c r="F8" s="8"/>
      <c r="G8" s="8"/>
    </row>
    <row r="9" spans="1:7" x14ac:dyDescent="0.25">
      <c r="A9" s="8"/>
      <c r="B9" s="11" t="s">
        <v>31</v>
      </c>
      <c r="C9" s="12">
        <f>9934+550</f>
        <v>10484</v>
      </c>
      <c r="D9" s="18" t="s">
        <v>5</v>
      </c>
      <c r="E9" s="8"/>
      <c r="F9" s="8"/>
      <c r="G9" s="8"/>
    </row>
    <row r="10" spans="1:7" x14ac:dyDescent="0.25">
      <c r="A10" s="8"/>
      <c r="B10" s="11" t="s">
        <v>32</v>
      </c>
      <c r="C10" s="12">
        <f>46545+7690</f>
        <v>54235</v>
      </c>
      <c r="D10" s="18" t="s">
        <v>5</v>
      </c>
      <c r="E10" s="8"/>
      <c r="F10" s="8"/>
      <c r="G10" s="8"/>
    </row>
    <row r="11" spans="1:7" x14ac:dyDescent="0.25">
      <c r="A11" s="8"/>
      <c r="B11" s="11" t="s">
        <v>33</v>
      </c>
      <c r="C11" s="12">
        <f>C9-C10</f>
        <v>-43751</v>
      </c>
      <c r="D11" s="18" t="s">
        <v>5</v>
      </c>
      <c r="E11" s="8"/>
      <c r="F11" s="8"/>
      <c r="G11" s="8"/>
    </row>
    <row r="12" spans="1:7" x14ac:dyDescent="0.25">
      <c r="A12" s="8"/>
      <c r="B12" s="15" t="s">
        <v>34</v>
      </c>
      <c r="C12" s="16">
        <f>C8-C9+C10</f>
        <v>167495.31187592002</v>
      </c>
      <c r="D12" s="17"/>
      <c r="E12" s="8"/>
      <c r="G12" s="8"/>
    </row>
    <row r="13" spans="1:7" x14ac:dyDescent="0.25">
      <c r="A13" s="8"/>
      <c r="B13" s="8"/>
      <c r="C13" s="8"/>
      <c r="D13" s="8"/>
      <c r="E13" s="8"/>
      <c r="F13" s="8"/>
      <c r="G13" s="8"/>
    </row>
    <row r="15" spans="1:7" x14ac:dyDescent="0.25">
      <c r="C15" s="19"/>
    </row>
    <row r="16" spans="1:7" x14ac:dyDescent="0.25">
      <c r="C16" s="19"/>
    </row>
    <row r="17" spans="3:3" x14ac:dyDescent="0.25">
      <c r="C17" s="19"/>
    </row>
  </sheetData>
  <mergeCells count="1">
    <mergeCell ref="B5:D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A3233-09E9-48D9-869C-10F57AA9CACA}">
  <dimension ref="B2:N36"/>
  <sheetViews>
    <sheetView tabSelected="1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K38" sqref="K38"/>
    </sheetView>
  </sheetViews>
  <sheetFormatPr defaultColWidth="8.85546875" defaultRowHeight="15" x14ac:dyDescent="0.25"/>
  <cols>
    <col min="1" max="1" width="3.85546875" customWidth="1"/>
    <col min="2" max="2" width="35.42578125" bestFit="1" customWidth="1"/>
    <col min="10" max="10" width="8.42578125" bestFit="1" customWidth="1"/>
  </cols>
  <sheetData>
    <row r="2" spans="2:14" x14ac:dyDescent="0.25">
      <c r="C2" s="7" t="s">
        <v>45</v>
      </c>
      <c r="D2" s="7" t="s">
        <v>44</v>
      </c>
      <c r="E2" s="7" t="s">
        <v>43</v>
      </c>
      <c r="F2" s="7" t="s">
        <v>42</v>
      </c>
      <c r="G2" s="7" t="s">
        <v>0</v>
      </c>
      <c r="H2" s="7" t="s">
        <v>1</v>
      </c>
      <c r="I2" s="7" t="s">
        <v>2</v>
      </c>
      <c r="J2" s="7" t="s">
        <v>3</v>
      </c>
      <c r="K2" s="7" t="s">
        <v>5</v>
      </c>
      <c r="L2" s="7" t="s">
        <v>38</v>
      </c>
      <c r="M2" s="7" t="s">
        <v>39</v>
      </c>
      <c r="N2" s="7" t="s">
        <v>40</v>
      </c>
    </row>
    <row r="3" spans="2:14" s="1" customFormat="1" x14ac:dyDescent="0.25">
      <c r="B3" s="1" t="s">
        <v>4</v>
      </c>
      <c r="C3" s="1">
        <v>11373</v>
      </c>
      <c r="D3" s="1">
        <v>10937</v>
      </c>
      <c r="E3" s="1">
        <v>11180</v>
      </c>
      <c r="F3" s="1">
        <f>45004-E3-D3-C3</f>
        <v>11514</v>
      </c>
      <c r="G3" s="1">
        <v>11404</v>
      </c>
      <c r="H3" s="1">
        <v>11485</v>
      </c>
      <c r="I3" s="1">
        <v>11418</v>
      </c>
      <c r="J3" s="22">
        <f>29225-SUM(G3:I3)</f>
        <v>-5082</v>
      </c>
      <c r="K3" s="1">
        <v>7703</v>
      </c>
    </row>
    <row r="4" spans="2:14" s="1" customFormat="1" x14ac:dyDescent="0.25">
      <c r="B4" s="1" t="s">
        <v>7</v>
      </c>
      <c r="C4" s="1">
        <v>5895</v>
      </c>
      <c r="D4" s="1">
        <v>6918</v>
      </c>
      <c r="E4" s="1">
        <v>6106</v>
      </c>
      <c r="F4" s="1">
        <f>27484-E4-D4-C4</f>
        <v>8565</v>
      </c>
      <c r="G4" s="1">
        <v>6083</v>
      </c>
      <c r="H4" s="1">
        <v>7018</v>
      </c>
      <c r="I4" s="1">
        <v>5978</v>
      </c>
      <c r="J4" s="22">
        <f>27346-SUM(G4:I4)</f>
        <v>8267</v>
      </c>
      <c r="K4" s="1">
        <v>6339</v>
      </c>
    </row>
    <row r="5" spans="2:14" s="1" customFormat="1" x14ac:dyDescent="0.25">
      <c r="B5" s="1" t="s">
        <v>8</v>
      </c>
      <c r="C5" s="1">
        <v>302</v>
      </c>
      <c r="D5" s="1">
        <v>268</v>
      </c>
      <c r="E5" s="1">
        <v>275</v>
      </c>
      <c r="F5" s="1">
        <f>1133-E5-D5-C5</f>
        <v>288</v>
      </c>
      <c r="G5" s="1">
        <v>242</v>
      </c>
      <c r="H5" s="1">
        <v>242</v>
      </c>
      <c r="I5" s="1">
        <v>222</v>
      </c>
      <c r="J5" s="22">
        <f>780-SUM(G5:I5)</f>
        <v>74</v>
      </c>
      <c r="K5" s="1">
        <v>155</v>
      </c>
    </row>
    <row r="6" spans="2:14" s="2" customFormat="1" x14ac:dyDescent="0.25">
      <c r="B6" s="2" t="s">
        <v>6</v>
      </c>
      <c r="C6" s="2">
        <f t="shared" ref="C6:K6" si="0">C3+C4+C5</f>
        <v>17570</v>
      </c>
      <c r="D6" s="2">
        <f t="shared" si="0"/>
        <v>18123</v>
      </c>
      <c r="E6" s="2">
        <f t="shared" si="0"/>
        <v>17561</v>
      </c>
      <c r="F6" s="2">
        <f t="shared" si="0"/>
        <v>20367</v>
      </c>
      <c r="G6" s="2">
        <f t="shared" si="0"/>
        <v>17729</v>
      </c>
      <c r="H6" s="2">
        <f t="shared" si="0"/>
        <v>18745</v>
      </c>
      <c r="I6" s="2">
        <f t="shared" si="0"/>
        <v>17618</v>
      </c>
      <c r="J6" s="23">
        <f t="shared" si="0"/>
        <v>3259</v>
      </c>
      <c r="K6" s="2">
        <f t="shared" si="0"/>
        <v>14197</v>
      </c>
    </row>
    <row r="7" spans="2:14" x14ac:dyDescent="0.25">
      <c r="B7" s="1" t="s">
        <v>12</v>
      </c>
      <c r="C7" s="1">
        <v>7843</v>
      </c>
      <c r="D7" s="1">
        <v>7520</v>
      </c>
      <c r="E7" s="1">
        <v>7357</v>
      </c>
      <c r="F7" s="1">
        <f>30404-E7-D7-C7</f>
        <v>7684</v>
      </c>
      <c r="G7" s="1">
        <v>7775</v>
      </c>
      <c r="H7" s="1">
        <v>7871</v>
      </c>
      <c r="I7" s="1">
        <v>7770</v>
      </c>
      <c r="J7" s="22">
        <f>19147-I7-H7-G7</f>
        <v>-4269</v>
      </c>
      <c r="K7" s="1">
        <v>5349</v>
      </c>
    </row>
    <row r="8" spans="2:14" x14ac:dyDescent="0.25">
      <c r="B8" s="1" t="s">
        <v>10</v>
      </c>
      <c r="C8" s="1">
        <v>1624</v>
      </c>
      <c r="D8" s="1">
        <v>1739</v>
      </c>
      <c r="E8" s="1">
        <v>1601</v>
      </c>
      <c r="F8" s="1">
        <f>6934-E8-D8-C8</f>
        <v>1970</v>
      </c>
      <c r="G8" s="1">
        <v>1585</v>
      </c>
      <c r="H8" s="1">
        <v>1694</v>
      </c>
      <c r="I8" s="1">
        <v>1513</v>
      </c>
      <c r="J8" s="22">
        <f>6184-I8-H8-G8</f>
        <v>1392</v>
      </c>
      <c r="K8" s="1">
        <v>1415</v>
      </c>
    </row>
    <row r="9" spans="2:14" x14ac:dyDescent="0.25">
      <c r="B9" s="1" t="s">
        <v>11</v>
      </c>
      <c r="C9" s="1">
        <v>181</v>
      </c>
      <c r="D9" s="1">
        <v>165</v>
      </c>
      <c r="E9" s="1">
        <v>172</v>
      </c>
      <c r="F9" s="1">
        <f>708-E9-D9-C9</f>
        <v>190</v>
      </c>
      <c r="G9" s="1">
        <v>165</v>
      </c>
      <c r="H9" s="1">
        <v>176</v>
      </c>
      <c r="I9" s="1">
        <v>165</v>
      </c>
      <c r="J9" s="22">
        <f>534-I9-H9-G9</f>
        <v>28</v>
      </c>
      <c r="K9" s="1">
        <v>98</v>
      </c>
    </row>
    <row r="10" spans="2:14" x14ac:dyDescent="0.25">
      <c r="B10" s="2" t="s">
        <v>13</v>
      </c>
      <c r="C10" s="2">
        <f t="shared" ref="C10:K10" si="1">C7+C8+C9</f>
        <v>9648</v>
      </c>
      <c r="D10" s="2">
        <f t="shared" si="1"/>
        <v>9424</v>
      </c>
      <c r="E10" s="2">
        <f t="shared" si="1"/>
        <v>9130</v>
      </c>
      <c r="F10" s="2">
        <f t="shared" si="1"/>
        <v>9844</v>
      </c>
      <c r="G10" s="2">
        <f t="shared" si="1"/>
        <v>9525</v>
      </c>
      <c r="H10" s="2">
        <f t="shared" si="1"/>
        <v>9741</v>
      </c>
      <c r="I10" s="2">
        <f t="shared" si="1"/>
        <v>9448</v>
      </c>
      <c r="J10" s="23">
        <f t="shared" si="1"/>
        <v>-2849</v>
      </c>
      <c r="K10" s="2">
        <f t="shared" si="1"/>
        <v>6862</v>
      </c>
    </row>
    <row r="11" spans="2:14" x14ac:dyDescent="0.25">
      <c r="B11" s="1" t="s">
        <v>14</v>
      </c>
      <c r="C11" s="1">
        <f t="shared" ref="C11" si="2">C3-C7</f>
        <v>3530</v>
      </c>
      <c r="D11" s="1">
        <f t="shared" ref="D11:F14" si="3">D3-D7</f>
        <v>3417</v>
      </c>
      <c r="E11" s="1">
        <f t="shared" si="3"/>
        <v>3823</v>
      </c>
      <c r="F11" s="1">
        <f t="shared" ref="F11" si="4">F3-F7</f>
        <v>3830</v>
      </c>
      <c r="G11" s="1">
        <f t="shared" ref="G11:I14" si="5">G3-G7</f>
        <v>3629</v>
      </c>
      <c r="H11" s="1">
        <f t="shared" si="5"/>
        <v>3614</v>
      </c>
      <c r="I11" s="1">
        <f t="shared" si="5"/>
        <v>3648</v>
      </c>
      <c r="J11" s="22">
        <f t="shared" ref="J11" si="6">J3-J7</f>
        <v>-813</v>
      </c>
      <c r="K11" s="1">
        <f>K3-K7</f>
        <v>2354</v>
      </c>
    </row>
    <row r="12" spans="2:14" x14ac:dyDescent="0.25">
      <c r="B12" s="1" t="s">
        <v>15</v>
      </c>
      <c r="C12" s="1">
        <f t="shared" ref="C12" si="7">C4-C8</f>
        <v>4271</v>
      </c>
      <c r="D12" s="1">
        <f t="shared" si="3"/>
        <v>5179</v>
      </c>
      <c r="E12" s="1">
        <f t="shared" si="3"/>
        <v>4505</v>
      </c>
      <c r="F12" s="1">
        <f t="shared" ref="F12" si="8">F4-F8</f>
        <v>6595</v>
      </c>
      <c r="G12" s="1">
        <f t="shared" si="5"/>
        <v>4498</v>
      </c>
      <c r="H12" s="1">
        <f t="shared" si="5"/>
        <v>5324</v>
      </c>
      <c r="I12" s="1">
        <f t="shared" si="5"/>
        <v>4465</v>
      </c>
      <c r="J12" s="22">
        <f t="shared" ref="J12" si="9">J4-J8</f>
        <v>6875</v>
      </c>
      <c r="K12" s="1">
        <f>K4-K8</f>
        <v>4924</v>
      </c>
    </row>
    <row r="13" spans="2:14" x14ac:dyDescent="0.25">
      <c r="B13" s="1" t="s">
        <v>16</v>
      </c>
      <c r="C13" s="1">
        <f t="shared" ref="C13" si="10">C5-C9</f>
        <v>121</v>
      </c>
      <c r="D13" s="1">
        <f t="shared" si="3"/>
        <v>103</v>
      </c>
      <c r="E13" s="1">
        <f t="shared" si="3"/>
        <v>103</v>
      </c>
      <c r="F13" s="1">
        <f t="shared" ref="F13" si="11">F5-F9</f>
        <v>98</v>
      </c>
      <c r="G13" s="1">
        <f t="shared" si="5"/>
        <v>77</v>
      </c>
      <c r="H13" s="1">
        <f t="shared" si="5"/>
        <v>66</v>
      </c>
      <c r="I13" s="1">
        <f t="shared" si="5"/>
        <v>57</v>
      </c>
      <c r="J13" s="22">
        <f t="shared" ref="J13" si="12">J5-J9</f>
        <v>46</v>
      </c>
      <c r="K13" s="1">
        <f>K5-K9</f>
        <v>57</v>
      </c>
    </row>
    <row r="14" spans="2:14" s="4" customFormat="1" x14ac:dyDescent="0.25">
      <c r="B14" s="2" t="s">
        <v>9</v>
      </c>
      <c r="C14" s="2">
        <f t="shared" ref="C14" si="13">C6-C10</f>
        <v>7922</v>
      </c>
      <c r="D14" s="2">
        <f t="shared" si="3"/>
        <v>8699</v>
      </c>
      <c r="E14" s="2">
        <f t="shared" si="3"/>
        <v>8431</v>
      </c>
      <c r="F14" s="2">
        <f t="shared" si="3"/>
        <v>10523</v>
      </c>
      <c r="G14" s="2">
        <f t="shared" si="5"/>
        <v>8204</v>
      </c>
      <c r="H14" s="2">
        <f t="shared" si="5"/>
        <v>9004</v>
      </c>
      <c r="I14" s="2">
        <f t="shared" si="5"/>
        <v>8170</v>
      </c>
      <c r="J14" s="23">
        <f t="shared" ref="J14" si="14">J6-J10</f>
        <v>6108</v>
      </c>
      <c r="K14" s="2">
        <f>K6-K10</f>
        <v>7335</v>
      </c>
    </row>
    <row r="15" spans="2:14" x14ac:dyDescent="0.25">
      <c r="B15" s="1" t="s">
        <v>17</v>
      </c>
      <c r="C15" s="1">
        <v>5955</v>
      </c>
      <c r="D15" s="1">
        <v>5248</v>
      </c>
      <c r="E15" s="1">
        <v>4647</v>
      </c>
      <c r="F15" s="1">
        <f>23082-E15-D15-C15</f>
        <v>7232</v>
      </c>
      <c r="G15" s="1">
        <v>5174</v>
      </c>
      <c r="H15" s="1">
        <v>5334</v>
      </c>
      <c r="I15" s="1">
        <v>4860</v>
      </c>
      <c r="J15" s="22">
        <f>18745-I15-H15-G15</f>
        <v>3377</v>
      </c>
      <c r="K15" s="1">
        <v>4597</v>
      </c>
    </row>
    <row r="16" spans="2:14" x14ac:dyDescent="0.25">
      <c r="B16" s="1" t="s">
        <v>18</v>
      </c>
      <c r="C16" s="1">
        <v>1625</v>
      </c>
      <c r="D16" s="1">
        <v>1582</v>
      </c>
      <c r="E16" s="1">
        <v>1515</v>
      </c>
      <c r="F16" s="1">
        <f>6333-E16-D16-C16</f>
        <v>1611</v>
      </c>
      <c r="G16" s="1">
        <v>1630</v>
      </c>
      <c r="H16" s="1">
        <v>1657</v>
      </c>
      <c r="I16" s="1">
        <v>1621</v>
      </c>
      <c r="J16" s="22">
        <f>6488-I16-H16-G16</f>
        <v>1580</v>
      </c>
      <c r="K16" s="1">
        <v>1679</v>
      </c>
    </row>
    <row r="17" spans="2:11" x14ac:dyDescent="0.25">
      <c r="B17" s="3" t="s">
        <v>19</v>
      </c>
      <c r="C17" s="3">
        <f t="shared" ref="C17:K17" si="15">C16+C15</f>
        <v>7580</v>
      </c>
      <c r="D17" s="3">
        <f t="shared" si="15"/>
        <v>6830</v>
      </c>
      <c r="E17" s="3">
        <f t="shared" si="15"/>
        <v>6162</v>
      </c>
      <c r="F17" s="3">
        <f t="shared" si="15"/>
        <v>8843</v>
      </c>
      <c r="G17" s="3">
        <f t="shared" si="15"/>
        <v>6804</v>
      </c>
      <c r="H17" s="3">
        <f t="shared" si="15"/>
        <v>6991</v>
      </c>
      <c r="I17" s="3">
        <f t="shared" si="15"/>
        <v>6481</v>
      </c>
      <c r="J17" s="22">
        <f t="shared" si="15"/>
        <v>4957</v>
      </c>
      <c r="K17" s="3">
        <f t="shared" si="15"/>
        <v>6276</v>
      </c>
    </row>
    <row r="18" spans="2:11" x14ac:dyDescent="0.25">
      <c r="B18" s="2" t="s">
        <v>20</v>
      </c>
      <c r="C18" s="2">
        <f t="shared" ref="C18:K18" si="16">C14-C17</f>
        <v>342</v>
      </c>
      <c r="D18" s="2">
        <f t="shared" si="16"/>
        <v>1869</v>
      </c>
      <c r="E18" s="2">
        <f t="shared" si="16"/>
        <v>2269</v>
      </c>
      <c r="F18" s="2">
        <f t="shared" si="16"/>
        <v>1680</v>
      </c>
      <c r="G18" s="2">
        <f t="shared" si="16"/>
        <v>1400</v>
      </c>
      <c r="H18" s="2">
        <f t="shared" si="16"/>
        <v>2013</v>
      </c>
      <c r="I18" s="2">
        <f t="shared" si="16"/>
        <v>1689</v>
      </c>
      <c r="J18" s="23">
        <f t="shared" si="16"/>
        <v>1151</v>
      </c>
      <c r="K18" s="2">
        <f t="shared" si="16"/>
        <v>1059</v>
      </c>
    </row>
    <row r="19" spans="2:11" x14ac:dyDescent="0.25">
      <c r="B19" s="3" t="s">
        <v>21</v>
      </c>
      <c r="C19">
        <f>116+-182+-326</f>
        <v>-392</v>
      </c>
      <c r="D19">
        <f>203+-179+-323</f>
        <v>-299</v>
      </c>
      <c r="E19">
        <f>134+-254+-323</f>
        <v>-443</v>
      </c>
      <c r="F19">
        <f>(626+-861+-1288)-E19-D19-C19</f>
        <v>-389</v>
      </c>
      <c r="G19">
        <f>147+-362+-280</f>
        <v>-495</v>
      </c>
      <c r="H19">
        <f>135+-315+-281</f>
        <v>-461</v>
      </c>
      <c r="I19">
        <f>153+-234+-291</f>
        <v>-372</v>
      </c>
      <c r="J19" s="24">
        <f>(612+-873+-1155)-I19-H19-G19</f>
        <v>-88</v>
      </c>
      <c r="K19">
        <f>121+-246+-311</f>
        <v>-436</v>
      </c>
    </row>
    <row r="20" spans="2:11" x14ac:dyDescent="0.25">
      <c r="B20" s="2" t="s">
        <v>22</v>
      </c>
      <c r="C20" s="1">
        <f t="shared" ref="C20:K20" si="17">C18+C19</f>
        <v>-50</v>
      </c>
      <c r="D20" s="1">
        <f t="shared" si="17"/>
        <v>1570</v>
      </c>
      <c r="E20" s="1">
        <f t="shared" si="17"/>
        <v>1826</v>
      </c>
      <c r="F20" s="1">
        <f t="shared" si="17"/>
        <v>1291</v>
      </c>
      <c r="G20" s="1">
        <f t="shared" si="17"/>
        <v>905</v>
      </c>
      <c r="H20" s="1">
        <f t="shared" si="17"/>
        <v>1552</v>
      </c>
      <c r="I20" s="1">
        <f t="shared" si="17"/>
        <v>1317</v>
      </c>
      <c r="J20" s="22">
        <f t="shared" si="17"/>
        <v>1063</v>
      </c>
      <c r="K20" s="1">
        <f t="shared" si="17"/>
        <v>623</v>
      </c>
    </row>
    <row r="21" spans="2:11" x14ac:dyDescent="0.25">
      <c r="B21" s="3" t="s">
        <v>23</v>
      </c>
      <c r="C21">
        <v>-1226</v>
      </c>
      <c r="D21">
        <v>209</v>
      </c>
      <c r="E21">
        <v>128</v>
      </c>
      <c r="F21">
        <f>-864-E21-D21-C21</f>
        <v>25</v>
      </c>
      <c r="G21">
        <v>-51</v>
      </c>
      <c r="H21">
        <v>227</v>
      </c>
      <c r="I21">
        <v>188</v>
      </c>
      <c r="J21" s="24">
        <f>124-I21-H21-G21</f>
        <v>-240</v>
      </c>
      <c r="K21">
        <v>-39</v>
      </c>
    </row>
    <row r="22" spans="2:11" x14ac:dyDescent="0.25">
      <c r="B22" s="3" t="s">
        <v>25</v>
      </c>
      <c r="C22" s="3">
        <f t="shared" ref="C22:K22" si="18">C20-C21</f>
        <v>1176</v>
      </c>
      <c r="D22" s="3">
        <f t="shared" si="18"/>
        <v>1361</v>
      </c>
      <c r="E22" s="3">
        <f t="shared" si="18"/>
        <v>1698</v>
      </c>
      <c r="F22" s="3">
        <f t="shared" si="18"/>
        <v>1266</v>
      </c>
      <c r="G22" s="3">
        <f t="shared" si="18"/>
        <v>956</v>
      </c>
      <c r="H22" s="3">
        <f t="shared" si="18"/>
        <v>1325</v>
      </c>
      <c r="I22" s="3">
        <f t="shared" si="18"/>
        <v>1129</v>
      </c>
      <c r="J22" s="22">
        <f t="shared" si="18"/>
        <v>1303</v>
      </c>
      <c r="K22" s="3">
        <f t="shared" si="18"/>
        <v>662</v>
      </c>
    </row>
    <row r="23" spans="2:11" x14ac:dyDescent="0.25">
      <c r="B23" s="3" t="s">
        <v>26</v>
      </c>
      <c r="C23" s="21">
        <v>-1</v>
      </c>
      <c r="D23" s="21">
        <v>-1</v>
      </c>
      <c r="E23">
        <v>-1</v>
      </c>
      <c r="F23">
        <v>89</v>
      </c>
      <c r="G23">
        <v>-1</v>
      </c>
      <c r="H23">
        <v>0</v>
      </c>
      <c r="I23">
        <v>0</v>
      </c>
      <c r="J23" s="24">
        <v>0</v>
      </c>
      <c r="K23">
        <v>71</v>
      </c>
    </row>
    <row r="24" spans="2:11" x14ac:dyDescent="0.25">
      <c r="B24" s="2" t="s">
        <v>24</v>
      </c>
      <c r="C24" s="2">
        <f t="shared" ref="C24:K24" si="19">C23+C22</f>
        <v>1175</v>
      </c>
      <c r="D24" s="2">
        <f t="shared" si="19"/>
        <v>1360</v>
      </c>
      <c r="E24" s="2">
        <f t="shared" si="19"/>
        <v>1697</v>
      </c>
      <c r="F24" s="2">
        <f t="shared" si="19"/>
        <v>1355</v>
      </c>
      <c r="G24" s="2">
        <f t="shared" si="19"/>
        <v>955</v>
      </c>
      <c r="H24" s="2">
        <f t="shared" si="19"/>
        <v>1325</v>
      </c>
      <c r="I24" s="2">
        <f t="shared" si="19"/>
        <v>1129</v>
      </c>
      <c r="J24" s="23">
        <f t="shared" si="19"/>
        <v>1303</v>
      </c>
      <c r="K24" s="2">
        <f t="shared" si="19"/>
        <v>733</v>
      </c>
    </row>
    <row r="25" spans="2:11" x14ac:dyDescent="0.25">
      <c r="B25" s="3" t="s">
        <v>37</v>
      </c>
      <c r="C25" s="6">
        <f t="shared" ref="C25:K25" si="20">C24/C26</f>
        <v>1.3231981981981982</v>
      </c>
      <c r="D25" s="6">
        <f t="shared" si="20"/>
        <v>1.5291207555655499</v>
      </c>
      <c r="E25" s="6">
        <f t="shared" si="20"/>
        <v>1.9037469149652233</v>
      </c>
      <c r="F25" s="6">
        <f t="shared" si="20"/>
        <v>1.5219588902617096</v>
      </c>
      <c r="G25" s="6">
        <f t="shared" si="20"/>
        <v>1.0687108325872874</v>
      </c>
      <c r="H25" s="6">
        <f t="shared" si="20"/>
        <v>1.4804469273743017</v>
      </c>
      <c r="I25" s="6">
        <f t="shared" si="20"/>
        <v>1.2584996098539738</v>
      </c>
      <c r="J25" s="25">
        <f t="shared" si="20"/>
        <v>1.4524579199643295</v>
      </c>
      <c r="K25" s="6">
        <f t="shared" si="20"/>
        <v>0.81507839430668305</v>
      </c>
    </row>
    <row r="26" spans="2:11" x14ac:dyDescent="0.25">
      <c r="B26" s="3" t="s">
        <v>29</v>
      </c>
      <c r="C26">
        <v>888</v>
      </c>
      <c r="D26">
        <v>889.4</v>
      </c>
      <c r="E26">
        <v>891.4</v>
      </c>
      <c r="F26">
        <v>890.3</v>
      </c>
      <c r="G26">
        <v>893.6</v>
      </c>
      <c r="H26">
        <v>895</v>
      </c>
      <c r="I26">
        <v>897.1</v>
      </c>
      <c r="J26" s="24">
        <v>897.1</v>
      </c>
      <c r="K26">
        <v>899.3</v>
      </c>
    </row>
    <row r="27" spans="2:11" x14ac:dyDescent="0.25">
      <c r="J27" s="24"/>
    </row>
    <row r="28" spans="2:11" x14ac:dyDescent="0.25">
      <c r="B28" s="3" t="s">
        <v>46</v>
      </c>
      <c r="D28" s="28">
        <f t="shared" ref="D28:K28" si="21">D6/C6-1</f>
        <v>3.1474103585657387E-2</v>
      </c>
      <c r="E28" s="28">
        <f t="shared" si="21"/>
        <v>-3.1010318379959156E-2</v>
      </c>
      <c r="F28" s="28">
        <f t="shared" si="21"/>
        <v>0.15978588918626513</v>
      </c>
      <c r="G28" s="28">
        <f t="shared" si="21"/>
        <v>-0.12952324839200668</v>
      </c>
      <c r="H28" s="28">
        <f t="shared" si="21"/>
        <v>5.7307236730780087E-2</v>
      </c>
      <c r="I28" s="28">
        <f t="shared" si="21"/>
        <v>-6.0122699386503053E-2</v>
      </c>
      <c r="J28" s="28">
        <f t="shared" si="21"/>
        <v>-0.81501873084345555</v>
      </c>
      <c r="K28" s="28">
        <f t="shared" si="21"/>
        <v>3.3562442467014417</v>
      </c>
    </row>
    <row r="29" spans="2:11" x14ac:dyDescent="0.25">
      <c r="B29" s="2" t="s">
        <v>41</v>
      </c>
      <c r="C29" s="20"/>
      <c r="D29" s="20"/>
      <c r="E29" s="4"/>
      <c r="F29" s="4"/>
      <c r="G29" s="20">
        <f>G6/C6-1</f>
        <v>9.0495162208310553E-3</v>
      </c>
      <c r="H29" s="20">
        <f>H6/D6-1</f>
        <v>3.4321028527285691E-2</v>
      </c>
      <c r="I29" s="20">
        <f>I6/E6-1</f>
        <v>3.2458288252377177E-3</v>
      </c>
      <c r="J29" s="27">
        <f>J6/F6-1</f>
        <v>-0.83998625227083024</v>
      </c>
      <c r="K29" s="20">
        <f>K6/G6-1</f>
        <v>-0.19922161430424723</v>
      </c>
    </row>
    <row r="30" spans="2:11" x14ac:dyDescent="0.25">
      <c r="J30" s="24"/>
    </row>
    <row r="31" spans="2:11" x14ac:dyDescent="0.25">
      <c r="J31" s="24"/>
    </row>
    <row r="32" spans="2:11" x14ac:dyDescent="0.25">
      <c r="J32" s="24"/>
    </row>
    <row r="33" spans="2:11" x14ac:dyDescent="0.25">
      <c r="B33" t="s">
        <v>48</v>
      </c>
      <c r="C33" s="5">
        <f t="shared" ref="C33:K33" si="22">C14/C6</f>
        <v>0.45088218554354015</v>
      </c>
      <c r="D33" s="5">
        <f t="shared" si="22"/>
        <v>0.4799977928599018</v>
      </c>
      <c r="E33" s="5">
        <f t="shared" si="22"/>
        <v>0.48009794430841068</v>
      </c>
      <c r="F33" s="5">
        <f t="shared" si="22"/>
        <v>0.51666912161830414</v>
      </c>
      <c r="G33" s="5">
        <f t="shared" si="22"/>
        <v>0.4627446556489368</v>
      </c>
      <c r="H33" s="5">
        <f t="shared" si="22"/>
        <v>0.48034142437983463</v>
      </c>
      <c r="I33" s="5">
        <f t="shared" si="22"/>
        <v>0.46373027585423998</v>
      </c>
      <c r="J33" s="26">
        <f t="shared" si="22"/>
        <v>1.8741945382019025</v>
      </c>
      <c r="K33" s="5">
        <f t="shared" si="22"/>
        <v>0.51665844896809188</v>
      </c>
    </row>
    <row r="34" spans="2:11" x14ac:dyDescent="0.25">
      <c r="B34" t="s">
        <v>47</v>
      </c>
      <c r="C34" s="28">
        <f t="shared" ref="C34:K34" si="23">C18/C6</f>
        <v>1.9464997154240181E-2</v>
      </c>
      <c r="D34" s="28">
        <f t="shared" si="23"/>
        <v>0.10312862108922363</v>
      </c>
      <c r="E34" s="28">
        <f t="shared" si="23"/>
        <v>0.12920676499060418</v>
      </c>
      <c r="F34" s="28">
        <f t="shared" si="23"/>
        <v>8.2486375018412134E-2</v>
      </c>
      <c r="G34" s="28">
        <f t="shared" si="23"/>
        <v>7.8966664786507976E-2</v>
      </c>
      <c r="H34" s="28">
        <f t="shared" si="23"/>
        <v>0.10738863696985863</v>
      </c>
      <c r="I34" s="28">
        <f t="shared" si="23"/>
        <v>9.5867862413440794E-2</v>
      </c>
      <c r="J34" s="28">
        <f t="shared" si="23"/>
        <v>0.35317582080392756</v>
      </c>
      <c r="K34" s="28">
        <f>K18/K6</f>
        <v>7.4593223920546597E-2</v>
      </c>
    </row>
    <row r="35" spans="2:11" x14ac:dyDescent="0.25">
      <c r="B35" t="s">
        <v>49</v>
      </c>
      <c r="C35" s="28">
        <f t="shared" ref="C35:K35" si="24">C24/C6</f>
        <v>6.6875355719977228E-2</v>
      </c>
      <c r="D35" s="28">
        <f t="shared" si="24"/>
        <v>7.5042763339402963E-2</v>
      </c>
      <c r="E35" s="28">
        <f t="shared" si="24"/>
        <v>9.6634588007516661E-2</v>
      </c>
      <c r="F35" s="28">
        <f t="shared" si="24"/>
        <v>6.6529189374969308E-2</v>
      </c>
      <c r="G35" s="28">
        <f t="shared" si="24"/>
        <v>5.38665463365108E-2</v>
      </c>
      <c r="H35" s="28">
        <f t="shared" si="24"/>
        <v>7.0685516137636697E-2</v>
      </c>
      <c r="I35" s="28">
        <f t="shared" si="24"/>
        <v>6.408218867067772E-2</v>
      </c>
      <c r="J35" s="28">
        <f t="shared" si="24"/>
        <v>0.39981589444614912</v>
      </c>
      <c r="K35" s="28">
        <f>K24/K6</f>
        <v>5.1630626188631401E-2</v>
      </c>
    </row>
    <row r="36" spans="2:11" x14ac:dyDescent="0.25">
      <c r="B36" t="s">
        <v>50</v>
      </c>
      <c r="C36" s="28">
        <f t="shared" ref="C36:K36" si="25">C21/C20</f>
        <v>24.52</v>
      </c>
      <c r="D36" s="28">
        <f t="shared" si="25"/>
        <v>0.13312101910828025</v>
      </c>
      <c r="E36" s="28">
        <f t="shared" si="25"/>
        <v>7.0098576122672507E-2</v>
      </c>
      <c r="F36" s="28">
        <f t="shared" si="25"/>
        <v>1.9364833462432222E-2</v>
      </c>
      <c r="G36" s="28">
        <f t="shared" si="25"/>
        <v>-5.6353591160220998E-2</v>
      </c>
      <c r="H36" s="28">
        <f t="shared" si="25"/>
        <v>0.14626288659793815</v>
      </c>
      <c r="I36" s="28">
        <f t="shared" si="25"/>
        <v>0.14274867122247531</v>
      </c>
      <c r="J36" s="28">
        <f t="shared" si="25"/>
        <v>-0.22577610536218251</v>
      </c>
      <c r="K36" s="28">
        <f>K21/K20</f>
        <v>-6.2600321027287326E-2</v>
      </c>
    </row>
  </sheetData>
  <pageMargins left="0.7" right="0.7" top="0.75" bottom="0.75" header="0.3" footer="0.3"/>
  <pageSetup paperSize="256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2022-05-06T19:17:24Z</dcterms:created>
  <dcterms:modified xsi:type="dcterms:W3CDTF">2022-10-28T11:31:16Z</dcterms:modified>
</cp:coreProperties>
</file>