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9E5061E-CD17-E94F-8DCD-8D00CAF7AB91}" xr6:coauthVersionLast="47" xr6:coauthVersionMax="47" xr10:uidLastSave="{00000000-0000-0000-0000-000000000000}"/>
  <bookViews>
    <workbookView xWindow="0" yWindow="500" windowWidth="28800" windowHeight="18900" activeTab="1" xr2:uid="{A3B42892-99A5-4AD2-A62E-54D4FCF341A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7" i="2" l="1"/>
  <c r="S77" i="2"/>
  <c r="R75" i="2"/>
  <c r="R73" i="2"/>
  <c r="S69" i="2"/>
  <c r="S67" i="2"/>
  <c r="R63" i="2"/>
  <c r="R65" i="2" s="1"/>
  <c r="R60" i="2"/>
  <c r="R61" i="2" s="1"/>
  <c r="R58" i="2"/>
  <c r="R55" i="2"/>
  <c r="R50" i="2"/>
  <c r="R46" i="2"/>
  <c r="R42" i="2"/>
  <c r="S63" i="2"/>
  <c r="S65" i="2" s="1"/>
  <c r="S73" i="2" s="1"/>
  <c r="S60" i="2"/>
  <c r="S61" i="2" s="1"/>
  <c r="S75" i="2" s="1"/>
  <c r="S58" i="2"/>
  <c r="S55" i="2"/>
  <c r="S50" i="2"/>
  <c r="S46" i="2"/>
  <c r="S42" i="2"/>
  <c r="R27" i="2"/>
  <c r="R26" i="2"/>
  <c r="Q17" i="2"/>
  <c r="Q13" i="2"/>
  <c r="Q8" i="2"/>
  <c r="Q16" i="2" s="1"/>
  <c r="Q18" i="2" l="1"/>
  <c r="Q31" i="2"/>
  <c r="Q30" i="2"/>
  <c r="Q12" i="2"/>
  <c r="H22" i="2"/>
  <c r="H5" i="2"/>
  <c r="H4" i="2"/>
  <c r="H6" i="2" s="1"/>
  <c r="H8" i="2" s="1"/>
  <c r="H12" i="2" l="1"/>
  <c r="H30" i="2"/>
  <c r="H16" i="2"/>
  <c r="Q20" i="2"/>
  <c r="Q33" i="2"/>
  <c r="S72" i="2"/>
  <c r="R72" i="2"/>
  <c r="K68" i="2"/>
  <c r="J71" i="2"/>
  <c r="R13" i="2"/>
  <c r="S17" i="2"/>
  <c r="R17" i="2"/>
  <c r="S13" i="2"/>
  <c r="S27" i="2"/>
  <c r="S26" i="2"/>
  <c r="S6" i="2"/>
  <c r="S8" i="2" s="1"/>
  <c r="R6" i="2"/>
  <c r="S12" i="2" l="1"/>
  <c r="S76" i="2"/>
  <c r="Q32" i="2"/>
  <c r="Q21" i="2"/>
  <c r="H31" i="2"/>
  <c r="H18" i="2"/>
  <c r="R8" i="2"/>
  <c r="R30" i="2" s="1"/>
  <c r="R25" i="2"/>
  <c r="R76" i="2"/>
  <c r="S25" i="2"/>
  <c r="S16" i="2"/>
  <c r="S30" i="2"/>
  <c r="H20" i="2" l="1"/>
  <c r="H32" i="2" s="1"/>
  <c r="H33" i="2"/>
  <c r="R12" i="2"/>
  <c r="R16" i="2"/>
  <c r="S31" i="2"/>
  <c r="S18" i="2"/>
  <c r="R31" i="2" l="1"/>
  <c r="R18" i="2"/>
  <c r="S20" i="2"/>
  <c r="S33" i="2"/>
  <c r="R33" i="2" l="1"/>
  <c r="R20" i="2"/>
  <c r="S32" i="2"/>
  <c r="S21" i="2"/>
  <c r="S78" i="2" s="1"/>
  <c r="R21" i="2" l="1"/>
  <c r="R78" i="2" s="1"/>
  <c r="R32" i="2"/>
  <c r="J22" i="2"/>
  <c r="J72" i="2" s="1"/>
  <c r="J19" i="2"/>
  <c r="J17" i="2"/>
  <c r="J15" i="2"/>
  <c r="J14" i="2"/>
  <c r="J13" i="2"/>
  <c r="J10" i="2"/>
  <c r="J9" i="2"/>
  <c r="J7" i="2"/>
  <c r="J5" i="2"/>
  <c r="J4" i="2"/>
  <c r="I72" i="2"/>
  <c r="K67" i="2"/>
  <c r="I63" i="2"/>
  <c r="I65" i="2" s="1"/>
  <c r="I50" i="2"/>
  <c r="I55" i="2" s="1"/>
  <c r="I58" i="2" s="1"/>
  <c r="I42" i="2"/>
  <c r="I46" i="2" s="1"/>
  <c r="I60" i="2" s="1"/>
  <c r="I61" i="2" s="1"/>
  <c r="I75" i="2" s="1"/>
  <c r="K72" i="2"/>
  <c r="C10" i="1"/>
  <c r="K63" i="2"/>
  <c r="K65" i="2" s="1"/>
  <c r="J6" i="2" l="1"/>
  <c r="J73" i="2"/>
  <c r="I73" i="2"/>
  <c r="J8" i="2"/>
  <c r="K73" i="2"/>
  <c r="C9" i="1"/>
  <c r="C26" i="1"/>
  <c r="K42" i="2"/>
  <c r="K46" i="2" s="1"/>
  <c r="K50" i="2"/>
  <c r="K55" i="2"/>
  <c r="J30" i="2" l="1"/>
  <c r="J16" i="2"/>
  <c r="J12" i="2"/>
  <c r="K58" i="2"/>
  <c r="K60" i="2"/>
  <c r="K61" i="2" s="1"/>
  <c r="K27" i="2"/>
  <c r="K26" i="2"/>
  <c r="C7" i="1"/>
  <c r="I6" i="2"/>
  <c r="K6" i="2"/>
  <c r="K28" i="2" s="1"/>
  <c r="C28" i="1"/>
  <c r="D28" i="1"/>
  <c r="K69" i="2" l="1"/>
  <c r="K76" i="2"/>
  <c r="I8" i="2"/>
  <c r="J76" i="2"/>
  <c r="J28" i="2"/>
  <c r="J31" i="2"/>
  <c r="J18" i="2"/>
  <c r="K25" i="2"/>
  <c r="K75" i="2"/>
  <c r="A75" i="2" s="1"/>
  <c r="C36" i="1"/>
  <c r="D11" i="1"/>
  <c r="D10" i="1"/>
  <c r="D9" i="1"/>
  <c r="D7" i="1"/>
  <c r="I30" i="2"/>
  <c r="K8" i="2"/>
  <c r="C8" i="1"/>
  <c r="C11" i="1"/>
  <c r="J20" i="2" l="1"/>
  <c r="J33" i="2"/>
  <c r="K16" i="2"/>
  <c r="K18" i="2" s="1"/>
  <c r="K20" i="2" s="1"/>
  <c r="K12" i="2"/>
  <c r="I12" i="2"/>
  <c r="I16" i="2"/>
  <c r="I18" i="2" s="1"/>
  <c r="I20" i="2" s="1"/>
  <c r="C35" i="1"/>
  <c r="I31" i="2"/>
  <c r="K30" i="2"/>
  <c r="C12" i="1"/>
  <c r="J21" i="2" l="1"/>
  <c r="J78" i="2" s="1"/>
  <c r="J32" i="2"/>
  <c r="K31" i="2"/>
  <c r="I33" i="2"/>
  <c r="I32" i="2" l="1"/>
  <c r="I21" i="2"/>
  <c r="K33" i="2"/>
  <c r="K21" i="2" l="1"/>
  <c r="K78" i="2" s="1"/>
  <c r="K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27" authorId="0" shapeId="0" xr:uid="{D139A71E-FBD8-4F2A-9B44-AB3850B92535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Large drop due to "mutually agreed cessation of the in-store trial with one partner"</t>
        </r>
      </text>
    </comment>
  </commentList>
</comments>
</file>

<file path=xl/sharedStrings.xml><?xml version="1.0" encoding="utf-8"?>
<sst xmlns="http://schemas.openxmlformats.org/spreadsheetml/2006/main" count="134" uniqueCount="119">
  <si>
    <t>£ITS</t>
  </si>
  <si>
    <t>In The Style Group Plc.</t>
  </si>
  <si>
    <t>Stock Snapshot</t>
  </si>
  <si>
    <t>Price</t>
  </si>
  <si>
    <t>Shares</t>
  </si>
  <si>
    <t>MC</t>
  </si>
  <si>
    <t>Cash</t>
  </si>
  <si>
    <t xml:space="preserve">Debt 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</si>
  <si>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</si>
  <si>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</si>
  <si>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</si>
  <si>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</si>
  <si>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</si>
  <si>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</si>
  <si>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</si>
  <si>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</si>
  <si>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</si>
  <si>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Inv.</t>
  </si>
  <si>
    <t>Update</t>
  </si>
  <si>
    <t>IR</t>
  </si>
  <si>
    <t>EV/E</t>
  </si>
  <si>
    <t>P/E</t>
  </si>
  <si>
    <t>P/S</t>
  </si>
  <si>
    <t>P/B</t>
  </si>
  <si>
    <t>ROCE</t>
  </si>
  <si>
    <t>Key Metrics/Ratio</t>
  </si>
  <si>
    <t>Key Events</t>
  </si>
  <si>
    <t>Salford, UK</t>
  </si>
  <si>
    <t>Sam Perkins</t>
  </si>
  <si>
    <t>CBO</t>
  </si>
  <si>
    <t>Founder</t>
  </si>
  <si>
    <t>Adam Frisby</t>
  </si>
  <si>
    <t>Richard Monaghan</t>
  </si>
  <si>
    <t>CTO</t>
  </si>
  <si>
    <t>John Allen</t>
  </si>
  <si>
    <t>Dir</t>
  </si>
  <si>
    <t>Link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</si>
  <si>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</si>
  <si>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</si>
  <si>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</si>
  <si>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</si>
  <si>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</si>
  <si>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</si>
  <si>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</si>
  <si>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</si>
  <si>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</si>
  <si>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</si>
  <si>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</si>
  <si>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</si>
  <si>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</si>
  <si>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</si>
  <si>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</si>
  <si>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</si>
  <si>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</si>
  <si>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Direct-to-Consumer</t>
  </si>
  <si>
    <t>Wholesale</t>
  </si>
  <si>
    <t>Revenue</t>
  </si>
  <si>
    <t>Gross Profit</t>
  </si>
  <si>
    <t>COGS</t>
  </si>
  <si>
    <t>Distribution Costs</t>
  </si>
  <si>
    <t>Administrative</t>
  </si>
  <si>
    <t>FH123</t>
  </si>
  <si>
    <t>FH222</t>
  </si>
  <si>
    <t>FH122</t>
  </si>
  <si>
    <t>FH221</t>
  </si>
  <si>
    <t>FH121</t>
  </si>
  <si>
    <t>FH220</t>
  </si>
  <si>
    <t>FH120</t>
  </si>
  <si>
    <t>FH219</t>
  </si>
  <si>
    <t>FH119</t>
  </si>
  <si>
    <t>Revenue Y/Y</t>
  </si>
  <si>
    <t>Revenue H/H</t>
  </si>
  <si>
    <t>Gross Margin</t>
  </si>
  <si>
    <t>Operating Margin</t>
  </si>
  <si>
    <t>Net Margin</t>
  </si>
  <si>
    <t>Tax Rate</t>
  </si>
  <si>
    <t>CEO Sam Perkins announces he will be stepping down on December 31 and ITS now considering a potential sale, no offers yet</t>
  </si>
  <si>
    <t>Online Womenswear retailer selling DTC &amp; Wholesale</t>
  </si>
  <si>
    <t>Adjusted EBITDA</t>
  </si>
  <si>
    <t>D&amp;A</t>
  </si>
  <si>
    <t>Share-Based Comp</t>
  </si>
  <si>
    <t>Exceptional Items</t>
  </si>
  <si>
    <t>Operating Income</t>
  </si>
  <si>
    <t>Net Finance Costs</t>
  </si>
  <si>
    <t>Pretax Income</t>
  </si>
  <si>
    <t>Income Tax</t>
  </si>
  <si>
    <t>Net Income</t>
  </si>
  <si>
    <t>EPS</t>
  </si>
  <si>
    <t>Founder &amp; Chief Brand Officer Adam Frisby will takeover for the interim period</t>
  </si>
  <si>
    <t>Balance Sheet</t>
  </si>
  <si>
    <t>S/E</t>
  </si>
  <si>
    <t>S/E+L</t>
  </si>
  <si>
    <t>Book Value</t>
  </si>
  <si>
    <t>Book Value per Share</t>
  </si>
  <si>
    <t>Debt</t>
  </si>
  <si>
    <t>Inventory H/H</t>
  </si>
  <si>
    <t>Inventory Y/Y</t>
  </si>
  <si>
    <t>Inventory/Revenue</t>
  </si>
  <si>
    <t>Share Price</t>
  </si>
  <si>
    <t>EV/S</t>
  </si>
  <si>
    <t>Assets</t>
  </si>
  <si>
    <t>Liabilities</t>
  </si>
  <si>
    <t>Intangibles</t>
  </si>
  <si>
    <t>PP&amp;E</t>
  </si>
  <si>
    <t>ROU</t>
  </si>
  <si>
    <t>Other Debtors</t>
  </si>
  <si>
    <t>Deferred Taxes</t>
  </si>
  <si>
    <t>Inventories</t>
  </si>
  <si>
    <t>Trade &amp; A/R</t>
  </si>
  <si>
    <t>TCA</t>
  </si>
  <si>
    <t>Provisions</t>
  </si>
  <si>
    <t>Lease Liabilities</t>
  </si>
  <si>
    <t>Total NCL</t>
  </si>
  <si>
    <t>Trade &amp; A/P</t>
  </si>
  <si>
    <t>Contract Liabilities</t>
  </si>
  <si>
    <t>Other Operating Income</t>
  </si>
  <si>
    <t>FY17</t>
  </si>
  <si>
    <t>FH223</t>
  </si>
  <si>
    <t>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</si>
</sst>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164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16" fontId="4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5" borderId="0" xfId="0" applyFont="1" applyFill="1"/>
    <xf numFmtId="0" fontId="7" fillId="0" borderId="0" xfId="0" applyFont="1"/>
    <xf numFmtId="0" fontId="7" fillId="5" borderId="0" xfId="0" applyFont="1" applyFill="1"/>
    <xf numFmtId="0" fontId="7" fillId="0" borderId="0" xfId="0" applyFont="1" applyAlignment="1">
      <alignment horizontal="left" indent="1"/>
    </xf>
    <xf numFmtId="164" fontId="7" fillId="0" borderId="0" xfId="0" applyNumberFormat="1" applyFont="1"/>
    <xf numFmtId="164" fontId="2" fillId="0" borderId="0" xfId="0" applyNumberFormat="1" applyFont="1"/>
    <xf numFmtId="9" fontId="1" fillId="0" borderId="0" xfId="0" applyNumberFormat="1" applyFont="1"/>
    <xf numFmtId="9" fontId="1" fillId="5" borderId="0" xfId="0" applyNumberFormat="1" applyFont="1" applyFill="1"/>
    <xf numFmtId="9" fontId="2" fillId="0" borderId="0" xfId="0" applyNumberFormat="1" applyFont="1"/>
    <xf numFmtId="17" fontId="2" fillId="2" borderId="4" xfId="0" applyNumberFormat="1" applyFont="1" applyFill="1" applyBorder="1" applyAlignment="1">
      <alignment horizontal="center"/>
    </xf>
    <xf numFmtId="0" fontId="1" fillId="6" borderId="0" xfId="0" applyFont="1" applyFill="1"/>
    <xf numFmtId="0" fontId="6" fillId="0" borderId="0" xfId="1" applyFont="1" applyAlignment="1">
      <alignment horizontal="right"/>
    </xf>
    <xf numFmtId="4" fontId="1" fillId="0" borderId="0" xfId="0" applyNumberFormat="1" applyFont="1"/>
    <xf numFmtId="4" fontId="1" fillId="5" borderId="0" xfId="0" applyNumberFormat="1" applyFont="1" applyFill="1"/>
    <xf numFmtId="165" fontId="1" fillId="0" borderId="0" xfId="0" applyNumberFormat="1" applyFont="1"/>
    <xf numFmtId="165" fontId="1" fillId="5" borderId="0" xfId="0" applyNumberFormat="1" applyFont="1" applyFill="1"/>
    <xf numFmtId="14" fontId="4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left" indent="1"/>
    </xf>
    <xf numFmtId="0" fontId="11" fillId="0" borderId="0" xfId="0" applyFont="1"/>
    <xf numFmtId="166" fontId="1" fillId="0" borderId="0" xfId="0" applyNumberFormat="1" applyFont="1"/>
    <xf numFmtId="166" fontId="12" fillId="0" borderId="0" xfId="0" applyNumberFormat="1" applyFont="1"/>
    <xf numFmtId="14" fontId="4" fillId="5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64" fontId="7" fillId="5" borderId="0" xfId="0" applyNumberFormat="1" applyFont="1" applyFill="1"/>
    <xf numFmtId="164" fontId="1" fillId="5" borderId="0" xfId="0" applyNumberFormat="1" applyFont="1" applyFill="1"/>
    <xf numFmtId="15" fontId="4" fillId="0" borderId="0" xfId="0" applyNumberFormat="1" applyFont="1" applyAlignment="1">
      <alignment horizontal="right"/>
    </xf>
    <xf numFmtId="9" fontId="7" fillId="0" borderId="0" xfId="0" applyNumberFormat="1" applyFont="1"/>
    <xf numFmtId="164" fontId="8" fillId="0" borderId="2" xfId="0" applyNumberFormat="1" applyFont="1" applyBorder="1"/>
    <xf numFmtId="164" fontId="8" fillId="5" borderId="2" xfId="0" applyNumberFormat="1" applyFont="1" applyFill="1" applyBorder="1"/>
    <xf numFmtId="164" fontId="1" fillId="5" borderId="7" xfId="0" applyNumberFormat="1" applyFont="1" applyFill="1" applyBorder="1"/>
    <xf numFmtId="164" fontId="7" fillId="0" borderId="0" xfId="0" applyNumberFormat="1" applyFont="1" applyAlignment="1">
      <alignment horizontal="left" indent="1"/>
    </xf>
    <xf numFmtId="164" fontId="8" fillId="0" borderId="1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166" fontId="1" fillId="5" borderId="0" xfId="0" applyNumberFormat="1" applyFont="1" applyFill="1"/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164" fontId="7" fillId="6" borderId="0" xfId="0" applyNumberFormat="1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164" fontId="8" fillId="6" borderId="2" xfId="0" applyNumberFormat="1" applyFont="1" applyFill="1" applyBorder="1"/>
    <xf numFmtId="164" fontId="1" fillId="6" borderId="7" xfId="0" applyNumberFormat="1" applyFont="1" applyFill="1" applyBorder="1"/>
    <xf numFmtId="165" fontId="1" fillId="6" borderId="0" xfId="0" applyNumberFormat="1" applyFont="1" applyFill="1"/>
    <xf numFmtId="0" fontId="2" fillId="6" borderId="0" xfId="0" applyFont="1" applyFill="1"/>
    <xf numFmtId="0" fontId="7" fillId="6" borderId="0" xfId="0" applyFont="1" applyFill="1"/>
    <xf numFmtId="9" fontId="1" fillId="6" borderId="0" xfId="0" applyNumberFormat="1" applyFont="1" applyFill="1"/>
    <xf numFmtId="4" fontId="1" fillId="6" borderId="0" xfId="0" applyNumberFormat="1" applyFont="1" applyFill="1"/>
    <xf numFmtId="0" fontId="13" fillId="6" borderId="0" xfId="0" applyFont="1" applyFill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0</xdr:row>
      <xdr:rowOff>76200</xdr:rowOff>
    </xdr:from>
    <xdr:to>
      <xdr:col>4</xdr:col>
      <xdr:colOff>438449</xdr:colOff>
      <xdr:row>2</xdr:row>
      <xdr:rowOff>28575</xdr:rowOff>
    </xdr:to>
    <xdr:pic>
      <xdr:nvPicPr>
        <xdr:cNvPr id="2" name="Picture 1" descr="IN THE STYLE GROUP PLC ITS Stock | London Stock Exchange">
          <a:extLst>
            <a:ext uri="{FF2B5EF4-FFF2-40B4-BE49-F238E27FC236}">
              <a16:creationId xmlns:a16="http://schemas.microsoft.com/office/drawing/2014/main" id="{A7BEE694-77C6-4F08-8A98-584A442C4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76200"/>
          <a:ext cx="1676699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9525</xdr:rowOff>
    </xdr:from>
    <xdr:to>
      <xdr:col>11</xdr:col>
      <xdr:colOff>9525</xdr:colOff>
      <xdr:row>94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0676AA2-9593-42DB-8B37-37115B59808C}"/>
            </a:ext>
          </a:extLst>
        </xdr:cNvPr>
        <xdr:cNvCxnSpPr/>
      </xdr:nvCxnSpPr>
      <xdr:spPr>
        <a:xfrm>
          <a:off x="7315200" y="9525"/>
          <a:ext cx="0" cy="153257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0</xdr:rowOff>
    </xdr:from>
    <xdr:to>
      <xdr:col>19</xdr:col>
      <xdr:colOff>9525</xdr:colOff>
      <xdr:row>94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623076C-CF1B-4F87-AD65-C18E33CF5A70}"/>
            </a:ext>
          </a:extLst>
        </xdr:cNvPr>
        <xdr:cNvCxnSpPr/>
      </xdr:nvCxnSpPr>
      <xdr:spPr>
        <a:xfrm>
          <a:off x="12068175" y="0"/>
          <a:ext cx="0" cy="12734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.inthestyl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hestyle-wp-2021.s3.eu-west-2.amazonaws.com/media/2021/07/210727-In-The-Style-Annual-Results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inthestyle-wp-2021.s3.eu-west-2.amazonaws.com/media/2022/07/ITS-Preliminary-results-31-March-2022-FINAL.pdf" TargetMode="External"/><Relationship Id="rId1" Type="http://schemas.openxmlformats.org/officeDocument/2006/relationships/hyperlink" Target="https://inthestyle-wp-2021.s3.eu-west-2.amazonaws.com/media/2022/12/221207-In-The-Style-Group-PLC-FY23-Interim-Results-FINAL.pdf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683B-ACA5-424E-B85B-5406B789571A}">
  <dimension ref="A2:S41"/>
  <sheetViews>
    <sheetView workbookViewId="0">
      <selection activeCell="C29" sqref="C29:D29"/>
    </sheetView>
  </sheetViews>
  <sheetFormatPr baseColWidth="10" defaultColWidth="9.1640625" defaultRowHeight="13" x14ac:dyDescent="0.15"/>
  <cols>
    <col min="1" max="16384" width="9.1640625" style="1"/>
  </cols>
  <sheetData>
    <row r="2" spans="2:19" x14ac:dyDescent="0.15">
      <c r="B2" s="2" t="s">
        <v>0</v>
      </c>
      <c r="F2" s="38" t="s">
        <v>77</v>
      </c>
      <c r="G2" s="38"/>
      <c r="H2" s="38"/>
      <c r="I2" s="38"/>
      <c r="J2" s="38"/>
    </row>
    <row r="3" spans="2:19" x14ac:dyDescent="0.15">
      <c r="B3" s="2" t="s">
        <v>1</v>
      </c>
    </row>
    <row r="5" spans="2:19" x14ac:dyDescent="0.15">
      <c r="B5" s="76" t="s">
        <v>2</v>
      </c>
      <c r="C5" s="77"/>
      <c r="D5" s="78"/>
      <c r="G5" s="76" t="s">
        <v>26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</row>
    <row r="6" spans="2:19" x14ac:dyDescent="0.15">
      <c r="B6" s="3" t="s">
        <v>3</v>
      </c>
      <c r="C6" s="19">
        <v>0.13569999999999999</v>
      </c>
      <c r="D6" s="17"/>
      <c r="G6" s="1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2:19" x14ac:dyDescent="0.15">
      <c r="B7" s="3" t="s">
        <v>4</v>
      </c>
      <c r="C7" s="20">
        <f>'Financial Model'!K22</f>
        <v>52.499997999999998</v>
      </c>
      <c r="D7" s="17" t="str">
        <f>$C$28</f>
        <v>FH123</v>
      </c>
      <c r="G7" s="37">
        <v>44896</v>
      </c>
      <c r="H7" s="6" t="s">
        <v>76</v>
      </c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2:19" x14ac:dyDescent="0.15">
      <c r="B8" s="3" t="s">
        <v>5</v>
      </c>
      <c r="C8" s="20">
        <f>C6*C7</f>
        <v>7.1242497285999988</v>
      </c>
      <c r="D8" s="17"/>
      <c r="G8" s="11"/>
      <c r="H8" s="45" t="s">
        <v>88</v>
      </c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2:19" x14ac:dyDescent="0.15">
      <c r="B9" s="3" t="s">
        <v>6</v>
      </c>
      <c r="C9" s="20">
        <f>'Financial Model'!K63</f>
        <v>4.2919999999999998</v>
      </c>
      <c r="D9" s="17" t="str">
        <f t="shared" ref="D9:D11" si="0">$C$28</f>
        <v>FH123</v>
      </c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2:19" x14ac:dyDescent="0.15">
      <c r="B10" s="3" t="s">
        <v>7</v>
      </c>
      <c r="C10" s="20">
        <f>'Financial Model'!K64</f>
        <v>0</v>
      </c>
      <c r="D10" s="17" t="str">
        <f t="shared" si="0"/>
        <v>FH123</v>
      </c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2:19" x14ac:dyDescent="0.15">
      <c r="B11" s="3" t="s">
        <v>8</v>
      </c>
      <c r="C11" s="20">
        <f>C9-C10</f>
        <v>4.2919999999999998</v>
      </c>
      <c r="D11" s="17" t="str">
        <f t="shared" si="0"/>
        <v>FH123</v>
      </c>
      <c r="G11" s="1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2:19" x14ac:dyDescent="0.15">
      <c r="B12" s="4" t="s">
        <v>9</v>
      </c>
      <c r="C12" s="21">
        <f>C8-C11</f>
        <v>2.832249728599999</v>
      </c>
      <c r="D12" s="18"/>
      <c r="G12" s="1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2:19" x14ac:dyDescent="0.15">
      <c r="G13" s="1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2:19" x14ac:dyDescent="0.15"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2:19" x14ac:dyDescent="0.15">
      <c r="B15" s="76" t="s">
        <v>10</v>
      </c>
      <c r="C15" s="77"/>
      <c r="D15" s="78"/>
      <c r="G15" s="1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2:19" x14ac:dyDescent="0.15">
      <c r="B16" s="5" t="s">
        <v>11</v>
      </c>
      <c r="C16" s="79" t="s">
        <v>28</v>
      </c>
      <c r="D16" s="80"/>
      <c r="G16" s="1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x14ac:dyDescent="0.15">
      <c r="A17" s="13" t="s">
        <v>30</v>
      </c>
      <c r="B17" s="5" t="s">
        <v>29</v>
      </c>
      <c r="C17" s="79" t="s">
        <v>31</v>
      </c>
      <c r="D17" s="80"/>
      <c r="G17" s="1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x14ac:dyDescent="0.15">
      <c r="A18" s="13" t="s">
        <v>35</v>
      </c>
      <c r="B18" s="5" t="s">
        <v>12</v>
      </c>
      <c r="C18" s="79" t="s">
        <v>32</v>
      </c>
      <c r="D18" s="80"/>
      <c r="G18" s="1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x14ac:dyDescent="0.15">
      <c r="B19" s="8" t="s">
        <v>33</v>
      </c>
      <c r="C19" s="81" t="s">
        <v>34</v>
      </c>
      <c r="D19" s="82"/>
      <c r="G19" s="1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x14ac:dyDescent="0.15"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x14ac:dyDescent="0.15">
      <c r="G21" s="1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x14ac:dyDescent="0.15">
      <c r="B22" s="76" t="s">
        <v>13</v>
      </c>
      <c r="C22" s="77"/>
      <c r="D22" s="78"/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x14ac:dyDescent="0.15">
      <c r="B23" s="11" t="s">
        <v>14</v>
      </c>
      <c r="C23" s="79" t="s">
        <v>27</v>
      </c>
      <c r="D23" s="80"/>
      <c r="G23" s="1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x14ac:dyDescent="0.15">
      <c r="B24" s="11" t="s">
        <v>15</v>
      </c>
      <c r="C24" s="79">
        <v>2013</v>
      </c>
      <c r="D24" s="80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x14ac:dyDescent="0.15">
      <c r="B25" s="11" t="s">
        <v>16</v>
      </c>
      <c r="C25" s="79"/>
      <c r="D25" s="80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x14ac:dyDescent="0.15">
      <c r="B26" s="11" t="s">
        <v>17</v>
      </c>
      <c r="C26" s="79">
        <f>'Financial Model'!K43</f>
        <v>7.0860000000000003</v>
      </c>
      <c r="D26" s="80"/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1:19" x14ac:dyDescent="0.15">
      <c r="B27" s="11"/>
      <c r="C27" s="79"/>
      <c r="D27" s="80"/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x14ac:dyDescent="0.15">
      <c r="B28" s="11" t="s">
        <v>18</v>
      </c>
      <c r="C28" s="22" t="str">
        <f>'Financial Model'!K1</f>
        <v>FH123</v>
      </c>
      <c r="D28" s="27">
        <f>'Financial Model'!K3</f>
        <v>44903</v>
      </c>
      <c r="G28" s="1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29" spans="1:19" x14ac:dyDescent="0.15">
      <c r="B29" s="12" t="s">
        <v>19</v>
      </c>
      <c r="C29" s="83" t="s">
        <v>36</v>
      </c>
      <c r="D29" s="84"/>
      <c r="G29" s="1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x14ac:dyDescent="0.15">
      <c r="G30" s="1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</row>
    <row r="31" spans="1:19" x14ac:dyDescent="0.15">
      <c r="G31" s="1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x14ac:dyDescent="0.15">
      <c r="B32" s="76" t="s">
        <v>25</v>
      </c>
      <c r="C32" s="77"/>
      <c r="D32" s="78"/>
      <c r="G32" s="1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2:19" x14ac:dyDescent="0.15">
      <c r="B33" s="11" t="s">
        <v>20</v>
      </c>
      <c r="C33" s="79"/>
      <c r="D33" s="80"/>
      <c r="G33" s="1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2:19" x14ac:dyDescent="0.15">
      <c r="B34" s="11" t="s">
        <v>21</v>
      </c>
      <c r="C34" s="79"/>
      <c r="D34" s="80"/>
      <c r="G34" s="1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2:19" x14ac:dyDescent="0.15">
      <c r="B35" s="11" t="s">
        <v>22</v>
      </c>
      <c r="C35" s="85">
        <f>C8/SUM('Financial Model'!J6:K6)</f>
        <v>0.13172320844226679</v>
      </c>
      <c r="D35" s="86"/>
      <c r="G35" s="1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2:19" x14ac:dyDescent="0.15">
      <c r="B36" s="11" t="s">
        <v>23</v>
      </c>
      <c r="C36" s="85">
        <f>C6/'Financial Model'!K61</f>
        <v>0.92751591311027226</v>
      </c>
      <c r="D36" s="86"/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</row>
    <row r="37" spans="2:19" x14ac:dyDescent="0.15">
      <c r="B37" s="11" t="s">
        <v>24</v>
      </c>
      <c r="C37" s="79"/>
      <c r="D37" s="80"/>
      <c r="G37" s="1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2:19" x14ac:dyDescent="0.15">
      <c r="B38" s="11"/>
      <c r="C38" s="79"/>
      <c r="D38" s="80"/>
      <c r="G38" s="1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</row>
    <row r="39" spans="2:19" x14ac:dyDescent="0.15">
      <c r="B39" s="11"/>
      <c r="C39" s="79"/>
      <c r="D39" s="80"/>
      <c r="G39" s="1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</row>
    <row r="40" spans="2:19" x14ac:dyDescent="0.15">
      <c r="B40" s="12"/>
      <c r="C40" s="81"/>
      <c r="D40" s="82"/>
      <c r="G40" s="1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</row>
    <row r="41" spans="2:19" x14ac:dyDescent="0.15">
      <c r="G41" s="12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0"/>
    </row>
  </sheetData>
  <mergeCells count="23">
    <mergeCell ref="C37:D37"/>
    <mergeCell ref="C38:D38"/>
    <mergeCell ref="C39:D39"/>
    <mergeCell ref="C40:D40"/>
    <mergeCell ref="G5:S5"/>
    <mergeCell ref="C29:D29"/>
    <mergeCell ref="B32:D32"/>
    <mergeCell ref="C33:D33"/>
    <mergeCell ref="C34:D34"/>
    <mergeCell ref="C35:D35"/>
    <mergeCell ref="C36:D36"/>
    <mergeCell ref="C23:D23"/>
    <mergeCell ref="C24:D24"/>
    <mergeCell ref="C25:D25"/>
    <mergeCell ref="C26:D26"/>
    <mergeCell ref="C27:D27"/>
    <mergeCell ref="B5:D5"/>
    <mergeCell ref="B15:D15"/>
    <mergeCell ref="B22:D22"/>
    <mergeCell ref="C18:D18"/>
    <mergeCell ref="C17:D17"/>
    <mergeCell ref="C16:D16"/>
    <mergeCell ref="C19:D19"/>
  </mergeCells>
  <hyperlinks>
    <hyperlink ref="C29:D29" r:id="rId1" display="Link" xr:uid="{89289E1C-5DFC-4452-AED2-1164A8B5547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3BEB-7FE7-446E-B80C-E366E335A437}">
  <dimension ref="A1:AE80"/>
  <sheetViews>
    <sheetView tabSelected="1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R77" sqref="R77:S77"/>
    </sheetView>
  </sheetViews>
  <sheetFormatPr baseColWidth="10" defaultColWidth="9.1640625" defaultRowHeight="13" x14ac:dyDescent="0.15"/>
  <cols>
    <col min="1" max="1" width="6.33203125" style="1" customWidth="1"/>
    <col min="2" max="2" width="21" style="1" bestFit="1" customWidth="1"/>
    <col min="3" max="3" width="9.1640625" style="1"/>
    <col min="4" max="4" width="9.1640625" style="25"/>
    <col min="5" max="5" width="9.1640625" style="1"/>
    <col min="6" max="6" width="9.1640625" style="25"/>
    <col min="7" max="7" width="9.1640625" style="1"/>
    <col min="8" max="8" width="9.1640625" style="25"/>
    <col min="9" max="9" width="9.1640625" style="1"/>
    <col min="10" max="10" width="9.1640625" style="25"/>
    <col min="11" max="11" width="9.1640625" style="1"/>
    <col min="12" max="12" width="9.1640625" style="38"/>
    <col min="13" max="16384" width="9.1640625" style="1"/>
  </cols>
  <sheetData>
    <row r="1" spans="1:31" s="14" customFormat="1" x14ac:dyDescent="0.15">
      <c r="C1" s="14" t="s">
        <v>69</v>
      </c>
      <c r="D1" s="23" t="s">
        <v>68</v>
      </c>
      <c r="E1" s="14" t="s">
        <v>67</v>
      </c>
      <c r="F1" s="23" t="s">
        <v>66</v>
      </c>
      <c r="G1" s="14" t="s">
        <v>65</v>
      </c>
      <c r="H1" s="23" t="s">
        <v>64</v>
      </c>
      <c r="I1" s="14" t="s">
        <v>63</v>
      </c>
      <c r="J1" s="23" t="s">
        <v>62</v>
      </c>
      <c r="K1" s="39" t="s">
        <v>61</v>
      </c>
      <c r="L1" s="63" t="s">
        <v>117</v>
      </c>
      <c r="N1" s="14" t="s">
        <v>116</v>
      </c>
      <c r="O1" s="14" t="s">
        <v>37</v>
      </c>
      <c r="P1" s="14" t="s">
        <v>38</v>
      </c>
      <c r="Q1" s="14" t="s">
        <v>39</v>
      </c>
      <c r="R1" s="39" t="s">
        <v>40</v>
      </c>
      <c r="S1" s="39" t="s">
        <v>41</v>
      </c>
      <c r="T1" s="14" t="s">
        <v>42</v>
      </c>
      <c r="U1" s="14" t="s">
        <v>43</v>
      </c>
      <c r="V1" s="14" t="s">
        <v>44</v>
      </c>
      <c r="W1" s="14" t="s">
        <v>45</v>
      </c>
      <c r="X1" s="14" t="s">
        <v>46</v>
      </c>
      <c r="Y1" s="14" t="s">
        <v>47</v>
      </c>
      <c r="Z1" s="14" t="s">
        <v>48</v>
      </c>
      <c r="AA1" s="14" t="s">
        <v>49</v>
      </c>
      <c r="AB1" s="14" t="s">
        <v>50</v>
      </c>
      <c r="AC1" s="14" t="s">
        <v>51</v>
      </c>
      <c r="AD1" s="14" t="s">
        <v>52</v>
      </c>
      <c r="AE1" s="14" t="s">
        <v>53</v>
      </c>
    </row>
    <row r="2" spans="1:31" s="16" customFormat="1" x14ac:dyDescent="0.15">
      <c r="B2" s="15"/>
      <c r="D2" s="24"/>
      <c r="F2" s="24"/>
      <c r="H2" s="24"/>
      <c r="I2" s="44">
        <v>44469</v>
      </c>
      <c r="J2" s="49">
        <v>44651</v>
      </c>
      <c r="K2" s="44">
        <v>44834</v>
      </c>
      <c r="L2" s="75" t="s">
        <v>118</v>
      </c>
      <c r="Q2" s="44">
        <v>43921</v>
      </c>
      <c r="R2" s="44">
        <v>44286</v>
      </c>
      <c r="S2" s="44">
        <v>44651</v>
      </c>
    </row>
    <row r="3" spans="1:31" s="16" customFormat="1" x14ac:dyDescent="0.15">
      <c r="B3" s="15"/>
      <c r="D3" s="24"/>
      <c r="F3" s="24"/>
      <c r="H3" s="24"/>
      <c r="J3" s="24"/>
      <c r="K3" s="26">
        <v>44903</v>
      </c>
      <c r="L3" s="64"/>
      <c r="R3" s="53">
        <v>44769</v>
      </c>
      <c r="S3" s="53">
        <v>44761</v>
      </c>
    </row>
    <row r="4" spans="1:31" s="32" customFormat="1" x14ac:dyDescent="0.15">
      <c r="B4" s="58" t="s">
        <v>54</v>
      </c>
      <c r="D4" s="51"/>
      <c r="F4" s="51"/>
      <c r="H4" s="51">
        <f>R4-G4</f>
        <v>36.374000000000002</v>
      </c>
      <c r="I4" s="32">
        <v>22.962</v>
      </c>
      <c r="J4" s="51">
        <f>S4-I4</f>
        <v>21.721</v>
      </c>
      <c r="K4" s="32">
        <v>22.847000000000001</v>
      </c>
      <c r="L4" s="65"/>
      <c r="Q4" s="32">
        <v>17.5</v>
      </c>
      <c r="R4" s="32">
        <v>36.374000000000002</v>
      </c>
      <c r="S4" s="32">
        <v>44.683</v>
      </c>
    </row>
    <row r="5" spans="1:31" s="32" customFormat="1" x14ac:dyDescent="0.15">
      <c r="B5" s="58" t="s">
        <v>55</v>
      </c>
      <c r="D5" s="51"/>
      <c r="F5" s="51"/>
      <c r="H5" s="51">
        <f>R5-G5</f>
        <v>8.3309999999999995</v>
      </c>
      <c r="I5" s="32">
        <v>6.8520000000000003</v>
      </c>
      <c r="J5" s="51">
        <f>S5-I5</f>
        <v>5.782</v>
      </c>
      <c r="K5" s="32">
        <v>3.7349999999999999</v>
      </c>
      <c r="L5" s="65"/>
      <c r="Q5" s="32">
        <v>1.8</v>
      </c>
      <c r="R5" s="32">
        <v>8.3309999999999995</v>
      </c>
      <c r="S5" s="32">
        <v>12.634</v>
      </c>
    </row>
    <row r="6" spans="1:31" s="33" customFormat="1" x14ac:dyDescent="0.15">
      <c r="B6" s="33" t="s">
        <v>56</v>
      </c>
      <c r="D6" s="50"/>
      <c r="F6" s="50"/>
      <c r="H6" s="50">
        <f>H4+H5</f>
        <v>44.704999999999998</v>
      </c>
      <c r="I6" s="33">
        <f>I4+I5</f>
        <v>29.814</v>
      </c>
      <c r="J6" s="50">
        <f>J4+J5</f>
        <v>27.503</v>
      </c>
      <c r="K6" s="33">
        <f>K4+K5</f>
        <v>26.582000000000001</v>
      </c>
      <c r="L6" s="66"/>
      <c r="Q6" s="33">
        <v>19.303000000000001</v>
      </c>
      <c r="R6" s="33">
        <f>R4+R5</f>
        <v>44.704999999999998</v>
      </c>
      <c r="S6" s="33">
        <f>S4+S5</f>
        <v>57.317</v>
      </c>
    </row>
    <row r="7" spans="1:31" s="20" customFormat="1" x14ac:dyDescent="0.15">
      <c r="B7" s="20" t="s">
        <v>58</v>
      </c>
      <c r="D7" s="52"/>
      <c r="F7" s="52"/>
      <c r="H7" s="52"/>
      <c r="I7" s="20">
        <v>15.781000000000001</v>
      </c>
      <c r="J7" s="52">
        <f>S7-I7</f>
        <v>16.367000000000004</v>
      </c>
      <c r="K7" s="20">
        <v>13.686999999999999</v>
      </c>
      <c r="L7" s="67"/>
      <c r="Q7" s="20">
        <v>9.0690000000000008</v>
      </c>
      <c r="R7" s="20">
        <v>24.116</v>
      </c>
      <c r="S7" s="20">
        <v>32.148000000000003</v>
      </c>
    </row>
    <row r="8" spans="1:31" s="33" customFormat="1" x14ac:dyDescent="0.15">
      <c r="B8" s="33" t="s">
        <v>57</v>
      </c>
      <c r="D8" s="50"/>
      <c r="F8" s="50"/>
      <c r="H8" s="50">
        <f>H6-H7</f>
        <v>44.704999999999998</v>
      </c>
      <c r="I8" s="33">
        <f>I6-I7</f>
        <v>14.032999999999999</v>
      </c>
      <c r="J8" s="50">
        <f>J6-J7</f>
        <v>11.135999999999996</v>
      </c>
      <c r="K8" s="33">
        <f>K6-K7</f>
        <v>12.895000000000001</v>
      </c>
      <c r="L8" s="66"/>
      <c r="Q8" s="33">
        <f t="shared" ref="Q8:S8" si="0">Q6-Q7</f>
        <v>10.234</v>
      </c>
      <c r="R8" s="33">
        <f t="shared" si="0"/>
        <v>20.588999999999999</v>
      </c>
      <c r="S8" s="33">
        <f t="shared" si="0"/>
        <v>25.168999999999997</v>
      </c>
    </row>
    <row r="9" spans="1:31" s="20" customFormat="1" x14ac:dyDescent="0.15">
      <c r="B9" s="20" t="s">
        <v>59</v>
      </c>
      <c r="D9" s="52"/>
      <c r="F9" s="52"/>
      <c r="H9" s="52"/>
      <c r="I9" s="20">
        <v>5.4569999999999999</v>
      </c>
      <c r="J9" s="52">
        <f>S9-I9</f>
        <v>4.5789999999999997</v>
      </c>
      <c r="K9" s="20">
        <v>4.7839999999999998</v>
      </c>
      <c r="L9" s="67"/>
      <c r="Q9" s="20">
        <v>4.1890000000000001</v>
      </c>
      <c r="R9" s="20">
        <v>7.4279999999999999</v>
      </c>
      <c r="S9" s="20">
        <v>10.036</v>
      </c>
    </row>
    <row r="10" spans="1:31" s="20" customFormat="1" x14ac:dyDescent="0.15">
      <c r="B10" s="20" t="s">
        <v>60</v>
      </c>
      <c r="D10" s="52"/>
      <c r="F10" s="52"/>
      <c r="H10" s="52"/>
      <c r="I10" s="20">
        <v>7.38</v>
      </c>
      <c r="J10" s="52">
        <f>S10-I10</f>
        <v>9.2590000000000003</v>
      </c>
      <c r="K10" s="20">
        <v>9.9429999999999996</v>
      </c>
      <c r="L10" s="67"/>
      <c r="Q10" s="20">
        <v>8.0809999999999995</v>
      </c>
      <c r="R10" s="20">
        <v>12.919</v>
      </c>
      <c r="S10" s="20">
        <v>16.638999999999999</v>
      </c>
    </row>
    <row r="11" spans="1:31" s="20" customFormat="1" x14ac:dyDescent="0.15">
      <c r="B11" s="20" t="s">
        <v>115</v>
      </c>
      <c r="D11" s="52"/>
      <c r="F11" s="52"/>
      <c r="H11" s="52"/>
      <c r="I11" s="20">
        <v>0</v>
      </c>
      <c r="J11" s="52">
        <v>0</v>
      </c>
      <c r="K11" s="20">
        <v>0</v>
      </c>
      <c r="L11" s="67"/>
      <c r="Q11" s="20">
        <v>0.224</v>
      </c>
      <c r="R11" s="20">
        <v>0.27700000000000002</v>
      </c>
      <c r="S11" s="20">
        <v>0</v>
      </c>
    </row>
    <row r="12" spans="1:31" s="55" customFormat="1" x14ac:dyDescent="0.15">
      <c r="A12" s="59"/>
      <c r="B12" s="55" t="s">
        <v>78</v>
      </c>
      <c r="D12" s="56"/>
      <c r="F12" s="56"/>
      <c r="H12" s="56">
        <f>H8-H9-H10+H11+SUM(H13:H15)</f>
        <v>44.704999999999998</v>
      </c>
      <c r="I12" s="55">
        <f t="shared" ref="I12:K12" si="1">I8-I9-I10+I11+SUM(I13:I15)</f>
        <v>1.4890000000000005</v>
      </c>
      <c r="J12" s="56">
        <f>J8-J9-J10+J11+SUM(J13:J15)</f>
        <v>-0.93800000000000439</v>
      </c>
      <c r="K12" s="55">
        <f t="shared" si="1"/>
        <v>-0.58999999999999897</v>
      </c>
      <c r="L12" s="68"/>
      <c r="Q12" s="55">
        <f>Q8-Q9-Q10+Q11+SUM(Q13:Q15)</f>
        <v>-1.1359999999999997</v>
      </c>
      <c r="R12" s="55">
        <f>R8-R9-R10+R11+SUM(R13:R15)</f>
        <v>3.7989999999999977</v>
      </c>
      <c r="S12" s="55">
        <f>S8-S9-S10+S11+SUM(S13:S15)</f>
        <v>0.55099999999999794</v>
      </c>
    </row>
    <row r="13" spans="1:31" s="20" customFormat="1" x14ac:dyDescent="0.15">
      <c r="A13" s="60"/>
      <c r="B13" s="20" t="s">
        <v>79</v>
      </c>
      <c r="D13" s="52"/>
      <c r="F13" s="52"/>
      <c r="H13" s="52"/>
      <c r="I13" s="20">
        <v>0.29299999999999998</v>
      </c>
      <c r="J13" s="52">
        <f t="shared" ref="J13:J19" si="2">S13-I13</f>
        <v>0.68700000000000006</v>
      </c>
      <c r="K13" s="20">
        <v>0.80200000000000005</v>
      </c>
      <c r="L13" s="67"/>
      <c r="Q13" s="20">
        <f>0.272+0.404</f>
        <v>0.67600000000000005</v>
      </c>
      <c r="R13" s="20">
        <f>0.36+0.574</f>
        <v>0.93399999999999994</v>
      </c>
      <c r="S13" s="20">
        <f>0.585+0.395</f>
        <v>0.98</v>
      </c>
    </row>
    <row r="14" spans="1:31" s="20" customFormat="1" x14ac:dyDescent="0.15">
      <c r="A14" s="60"/>
      <c r="B14" s="20" t="s">
        <v>80</v>
      </c>
      <c r="D14" s="52"/>
      <c r="F14" s="52"/>
      <c r="H14" s="52"/>
      <c r="I14" s="20">
        <v>0</v>
      </c>
      <c r="J14" s="52">
        <f t="shared" si="2"/>
        <v>0.86099999999999999</v>
      </c>
      <c r="K14" s="20">
        <v>0.115</v>
      </c>
      <c r="L14" s="67"/>
      <c r="Q14" s="20">
        <v>0</v>
      </c>
      <c r="R14" s="20">
        <v>0</v>
      </c>
      <c r="S14" s="20">
        <v>0.86099999999999999</v>
      </c>
    </row>
    <row r="15" spans="1:31" s="21" customFormat="1" x14ac:dyDescent="0.15">
      <c r="A15" s="61"/>
      <c r="B15" s="21" t="s">
        <v>81</v>
      </c>
      <c r="D15" s="57"/>
      <c r="F15" s="57"/>
      <c r="H15" s="57"/>
      <c r="I15" s="21">
        <v>0</v>
      </c>
      <c r="J15" s="57">
        <f t="shared" si="2"/>
        <v>0.216</v>
      </c>
      <c r="K15" s="21">
        <v>0.32500000000000001</v>
      </c>
      <c r="L15" s="69"/>
      <c r="Q15" s="21">
        <v>0</v>
      </c>
      <c r="R15" s="21">
        <v>2.3460000000000001</v>
      </c>
      <c r="S15" s="21">
        <v>0.216</v>
      </c>
    </row>
    <row r="16" spans="1:31" s="33" customFormat="1" x14ac:dyDescent="0.15">
      <c r="B16" s="33" t="s">
        <v>82</v>
      </c>
      <c r="D16" s="50"/>
      <c r="F16" s="50"/>
      <c r="H16" s="50">
        <f>H8-H9-H10+H11</f>
        <v>44.704999999999998</v>
      </c>
      <c r="I16" s="33">
        <f>I8-I9-I10+I11</f>
        <v>1.1960000000000006</v>
      </c>
      <c r="J16" s="50">
        <f>J8-J9-J10+J11</f>
        <v>-2.7020000000000044</v>
      </c>
      <c r="K16" s="33">
        <f>K8-K9-K10+K11</f>
        <v>-1.831999999999999</v>
      </c>
      <c r="L16" s="66"/>
      <c r="Q16" s="33">
        <f>Q8-Q9-Q10+Q11</f>
        <v>-1.8119999999999996</v>
      </c>
      <c r="R16" s="33">
        <f>R8-R9-R10+R11</f>
        <v>0.51899999999999735</v>
      </c>
      <c r="S16" s="33">
        <f>S8-S9-S10+S11</f>
        <v>-1.506000000000002</v>
      </c>
    </row>
    <row r="17" spans="2:19" s="20" customFormat="1" x14ac:dyDescent="0.15">
      <c r="B17" s="20" t="s">
        <v>83</v>
      </c>
      <c r="D17" s="52"/>
      <c r="F17" s="52"/>
      <c r="H17" s="52"/>
      <c r="I17" s="20">
        <v>-1.2999999999999999E-2</v>
      </c>
      <c r="J17" s="52">
        <f t="shared" si="2"/>
        <v>-2.6000000000000002E-2</v>
      </c>
      <c r="K17" s="20">
        <v>-7.4999999999999997E-2</v>
      </c>
      <c r="L17" s="67"/>
      <c r="Q17" s="20">
        <f>0.003-0.348</f>
        <v>-0.34499999999999997</v>
      </c>
      <c r="R17" s="20">
        <f>0.001-0.395</f>
        <v>-0.39400000000000002</v>
      </c>
      <c r="S17" s="20">
        <f>0.001-0.04</f>
        <v>-3.9E-2</v>
      </c>
    </row>
    <row r="18" spans="2:19" s="20" customFormat="1" x14ac:dyDescent="0.15">
      <c r="B18" s="20" t="s">
        <v>84</v>
      </c>
      <c r="D18" s="52"/>
      <c r="F18" s="52"/>
      <c r="H18" s="52">
        <f>H16+H17</f>
        <v>44.704999999999998</v>
      </c>
      <c r="I18" s="20">
        <f>I16+I17</f>
        <v>1.1830000000000007</v>
      </c>
      <c r="J18" s="52">
        <f>J16+J17</f>
        <v>-2.7280000000000042</v>
      </c>
      <c r="K18" s="20">
        <f>K16+K17</f>
        <v>-1.9069999999999989</v>
      </c>
      <c r="L18" s="67"/>
      <c r="Q18" s="20">
        <f>Q16+Q17</f>
        <v>-2.1569999999999996</v>
      </c>
      <c r="R18" s="20">
        <f>R16+R17</f>
        <v>0.12499999999999734</v>
      </c>
      <c r="S18" s="20">
        <f>S16+S17</f>
        <v>-1.5450000000000019</v>
      </c>
    </row>
    <row r="19" spans="2:19" s="20" customFormat="1" x14ac:dyDescent="0.15">
      <c r="B19" s="20" t="s">
        <v>85</v>
      </c>
      <c r="D19" s="52"/>
      <c r="F19" s="52"/>
      <c r="H19" s="52"/>
      <c r="I19" s="20">
        <v>0</v>
      </c>
      <c r="J19" s="52">
        <f t="shared" si="2"/>
        <v>0.216</v>
      </c>
      <c r="K19" s="20">
        <v>0</v>
      </c>
      <c r="L19" s="67"/>
      <c r="Q19" s="20">
        <v>0</v>
      </c>
      <c r="R19" s="20">
        <v>0.5</v>
      </c>
      <c r="S19" s="20">
        <v>0.216</v>
      </c>
    </row>
    <row r="20" spans="2:19" s="33" customFormat="1" x14ac:dyDescent="0.15">
      <c r="B20" s="33" t="s">
        <v>86</v>
      </c>
      <c r="D20" s="50"/>
      <c r="F20" s="50"/>
      <c r="H20" s="50">
        <f>H18+H19</f>
        <v>44.704999999999998</v>
      </c>
      <c r="I20" s="33">
        <f>I18+I19</f>
        <v>1.1830000000000007</v>
      </c>
      <c r="J20" s="50">
        <f>J18+J19</f>
        <v>-2.512000000000004</v>
      </c>
      <c r="K20" s="33">
        <f>K18+K19</f>
        <v>-1.9069999999999989</v>
      </c>
      <c r="L20" s="66"/>
      <c r="Q20" s="33">
        <f>Q18+Q19</f>
        <v>-2.1569999999999996</v>
      </c>
      <c r="R20" s="33">
        <f>R18+R19</f>
        <v>0.62499999999999734</v>
      </c>
      <c r="S20" s="33">
        <f>S18+S19</f>
        <v>-1.329000000000002</v>
      </c>
    </row>
    <row r="21" spans="2:19" s="42" customFormat="1" x14ac:dyDescent="0.15">
      <c r="B21" s="42" t="s">
        <v>87</v>
      </c>
      <c r="D21" s="43"/>
      <c r="F21" s="43"/>
      <c r="H21" s="43"/>
      <c r="I21" s="42">
        <f>I20/I22</f>
        <v>2.2533334191746079E-2</v>
      </c>
      <c r="J21" s="43">
        <f>J20/J22</f>
        <v>-4.789323164918978E-2</v>
      </c>
      <c r="K21" s="42">
        <f>K20/K22</f>
        <v>-3.6323810907573729E-2</v>
      </c>
      <c r="L21" s="70"/>
      <c r="Q21" s="42">
        <f>Q20/Q22</f>
        <v>-1.4105413581221884E-2</v>
      </c>
      <c r="R21" s="42">
        <f>R20/R22</f>
        <v>1.1916110581506144E-2</v>
      </c>
      <c r="S21" s="42">
        <f>S20/S22</f>
        <v>-2.5338417540514812E-2</v>
      </c>
    </row>
    <row r="22" spans="2:19" s="20" customFormat="1" x14ac:dyDescent="0.15">
      <c r="B22" s="20" t="s">
        <v>4</v>
      </c>
      <c r="D22" s="52"/>
      <c r="F22" s="52"/>
      <c r="H22" s="52">
        <f>Q22</f>
        <v>152.92001099999999</v>
      </c>
      <c r="I22" s="20">
        <v>52.499997999999998</v>
      </c>
      <c r="J22" s="52">
        <f>S22</f>
        <v>52.45</v>
      </c>
      <c r="K22" s="20">
        <v>52.499997999999998</v>
      </c>
      <c r="L22" s="67"/>
      <c r="Q22" s="20">
        <v>152.92001099999999</v>
      </c>
      <c r="R22" s="20">
        <v>52.45</v>
      </c>
      <c r="S22" s="20">
        <v>52.45</v>
      </c>
    </row>
    <row r="23" spans="2:19" x14ac:dyDescent="0.15">
      <c r="K23" s="20"/>
    </row>
    <row r="25" spans="2:19" s="2" customFormat="1" x14ac:dyDescent="0.15">
      <c r="B25" s="2" t="s">
        <v>70</v>
      </c>
      <c r="D25" s="28"/>
      <c r="F25" s="28"/>
      <c r="H25" s="28"/>
      <c r="J25" s="28"/>
      <c r="K25" s="36">
        <f>K6/I6-1</f>
        <v>-0.10840544710538669</v>
      </c>
      <c r="L25" s="71"/>
      <c r="R25" s="36">
        <f t="shared" ref="R25" si="3">R6/Q6-1</f>
        <v>1.3159612495467026</v>
      </c>
      <c r="S25" s="36">
        <f>S6/R6-1</f>
        <v>0.2821160943965999</v>
      </c>
    </row>
    <row r="26" spans="2:19" s="29" customFormat="1" x14ac:dyDescent="0.15">
      <c r="B26" s="31" t="s">
        <v>54</v>
      </c>
      <c r="D26" s="30"/>
      <c r="F26" s="30"/>
      <c r="H26" s="30"/>
      <c r="J26" s="30"/>
      <c r="K26" s="54">
        <f>K4/I4-1</f>
        <v>-5.0082745405451989E-3</v>
      </c>
      <c r="L26" s="72"/>
      <c r="R26" s="54">
        <f t="shared" ref="R26" si="4">R4/Q4-1</f>
        <v>1.0785142857142858</v>
      </c>
      <c r="S26" s="54">
        <f>S4/R4-1</f>
        <v>0.22843239676692129</v>
      </c>
    </row>
    <row r="27" spans="2:19" s="29" customFormat="1" x14ac:dyDescent="0.15">
      <c r="B27" s="31" t="s">
        <v>55</v>
      </c>
      <c r="D27" s="30"/>
      <c r="F27" s="30"/>
      <c r="H27" s="30"/>
      <c r="J27" s="30"/>
      <c r="K27" s="54">
        <f>K5/I5-1</f>
        <v>-0.45490367775831875</v>
      </c>
      <c r="L27" s="72"/>
      <c r="R27" s="54">
        <f t="shared" ref="R27" si="5">R5/Q5-1</f>
        <v>3.628333333333333</v>
      </c>
      <c r="S27" s="54">
        <f>S5/R5-1</f>
        <v>0.51650462129396235</v>
      </c>
    </row>
    <row r="28" spans="2:19" x14ac:dyDescent="0.15">
      <c r="B28" s="1" t="s">
        <v>71</v>
      </c>
      <c r="J28" s="35">
        <f>J6/I6-1</f>
        <v>-7.7513919635070816E-2</v>
      </c>
      <c r="K28" s="34">
        <f>K6/J6-1</f>
        <v>-3.3487255935716109E-2</v>
      </c>
    </row>
    <row r="30" spans="2:19" s="34" customFormat="1" x14ac:dyDescent="0.15">
      <c r="B30" s="34" t="s">
        <v>72</v>
      </c>
      <c r="D30" s="35"/>
      <c r="F30" s="35"/>
      <c r="H30" s="35">
        <f>H8/H6</f>
        <v>1</v>
      </c>
      <c r="I30" s="34">
        <f>I8/I6</f>
        <v>0.4706849131280606</v>
      </c>
      <c r="J30" s="35">
        <f>J8/J6</f>
        <v>0.40490128349634569</v>
      </c>
      <c r="K30" s="34">
        <f>K8/K6</f>
        <v>0.48510270107591608</v>
      </c>
      <c r="L30" s="73"/>
      <c r="Q30" s="34">
        <f t="shared" ref="Q30" si="6">Q8/Q6</f>
        <v>0.53017665647826762</v>
      </c>
      <c r="R30" s="34">
        <f>R8/R6</f>
        <v>0.46055251090482047</v>
      </c>
      <c r="S30" s="34">
        <f>S8/S6</f>
        <v>0.43911928398206462</v>
      </c>
    </row>
    <row r="31" spans="2:19" s="34" customFormat="1" x14ac:dyDescent="0.15">
      <c r="B31" s="34" t="s">
        <v>73</v>
      </c>
      <c r="D31" s="35"/>
      <c r="F31" s="35"/>
      <c r="H31" s="35">
        <f>H16/H6</f>
        <v>1</v>
      </c>
      <c r="I31" s="34">
        <f>I16/I6</f>
        <v>4.011538203528546E-2</v>
      </c>
      <c r="J31" s="35">
        <f>J16/J6</f>
        <v>-9.8243827946042403E-2</v>
      </c>
      <c r="K31" s="34">
        <f>K16/K6</f>
        <v>-6.8918817244752045E-2</v>
      </c>
      <c r="L31" s="73"/>
      <c r="Q31" s="34">
        <f t="shared" ref="Q31" si="7">Q16/Q6</f>
        <v>-9.3871418950422184E-2</v>
      </c>
      <c r="R31" s="34">
        <f>R16/R6</f>
        <v>1.1609439659993231E-2</v>
      </c>
      <c r="S31" s="34">
        <f>S16/S6</f>
        <v>-2.6274927159481515E-2</v>
      </c>
    </row>
    <row r="32" spans="2:19" x14ac:dyDescent="0.15">
      <c r="B32" s="1" t="s">
        <v>74</v>
      </c>
      <c r="H32" s="35">
        <f>H20/H6</f>
        <v>1</v>
      </c>
      <c r="I32" s="34">
        <f>I20/I6</f>
        <v>3.9679345274032357E-2</v>
      </c>
      <c r="J32" s="35">
        <f>J20/J6</f>
        <v>-9.1335490673744829E-2</v>
      </c>
      <c r="K32" s="34">
        <f>K20/K6</f>
        <v>-7.1740275374313406E-2</v>
      </c>
      <c r="Q32" s="34">
        <f t="shared" ref="Q32" si="8">Q20/Q6</f>
        <v>-0.11174428845257212</v>
      </c>
      <c r="R32" s="34">
        <f>R20/R6</f>
        <v>1.3980539089587235E-2</v>
      </c>
      <c r="S32" s="34">
        <f>S20/S6</f>
        <v>-2.3186838110857196E-2</v>
      </c>
    </row>
    <row r="33" spans="2:19" s="34" customFormat="1" x14ac:dyDescent="0.15">
      <c r="B33" s="34" t="s">
        <v>75</v>
      </c>
      <c r="D33" s="35"/>
      <c r="F33" s="35"/>
      <c r="H33" s="35">
        <f>-H19/H18</f>
        <v>0</v>
      </c>
      <c r="I33" s="34">
        <f>-I19/I18</f>
        <v>0</v>
      </c>
      <c r="J33" s="35">
        <f>-J19/J18</f>
        <v>7.9178885630498408E-2</v>
      </c>
      <c r="K33" s="34">
        <f>-K19/K18</f>
        <v>0</v>
      </c>
      <c r="L33" s="73"/>
      <c r="Q33" s="34">
        <f t="shared" ref="Q33" si="9">-Q19/Q18</f>
        <v>0</v>
      </c>
      <c r="R33" s="34">
        <f>-R19/R18</f>
        <v>-4.0000000000000853</v>
      </c>
      <c r="S33" s="34">
        <f>-S19/S18</f>
        <v>0.13980582524271826</v>
      </c>
    </row>
    <row r="36" spans="2:19" x14ac:dyDescent="0.15">
      <c r="B36" s="46" t="s">
        <v>89</v>
      </c>
    </row>
    <row r="37" spans="2:19" x14ac:dyDescent="0.15">
      <c r="B37" s="1" t="s">
        <v>102</v>
      </c>
      <c r="I37" s="20">
        <v>1.5620000000000001</v>
      </c>
      <c r="K37" s="20">
        <v>2.4049999999999998</v>
      </c>
      <c r="R37" s="20">
        <v>1.125</v>
      </c>
      <c r="S37" s="20">
        <v>2.1539999999999999</v>
      </c>
    </row>
    <row r="38" spans="2:19" x14ac:dyDescent="0.15">
      <c r="B38" s="1" t="s">
        <v>103</v>
      </c>
      <c r="I38" s="20">
        <v>0.35599999999999998</v>
      </c>
      <c r="K38" s="20">
        <v>0.79900000000000004</v>
      </c>
      <c r="R38" s="20">
        <v>0.27200000000000002</v>
      </c>
      <c r="S38" s="20">
        <v>0.77300000000000002</v>
      </c>
    </row>
    <row r="39" spans="2:19" x14ac:dyDescent="0.15">
      <c r="B39" s="1" t="s">
        <v>104</v>
      </c>
      <c r="I39" s="20">
        <v>1.202</v>
      </c>
      <c r="K39" s="20">
        <v>6.1420000000000003</v>
      </c>
      <c r="R39" s="20">
        <v>0.29199999999999998</v>
      </c>
      <c r="S39" s="20">
        <v>0.97199999999999998</v>
      </c>
    </row>
    <row r="40" spans="2:19" s="2" customFormat="1" x14ac:dyDescent="0.15">
      <c r="B40" s="2" t="s">
        <v>105</v>
      </c>
      <c r="D40" s="28"/>
      <c r="F40" s="28"/>
      <c r="H40" s="28"/>
      <c r="I40" s="33">
        <v>0</v>
      </c>
      <c r="J40" s="28"/>
      <c r="K40" s="33">
        <v>0.441</v>
      </c>
      <c r="L40" s="71"/>
      <c r="R40" s="33">
        <v>0</v>
      </c>
      <c r="S40" s="33">
        <v>0</v>
      </c>
    </row>
    <row r="41" spans="2:19" x14ac:dyDescent="0.15">
      <c r="B41" s="1" t="s">
        <v>106</v>
      </c>
      <c r="I41" s="20">
        <v>0.5</v>
      </c>
      <c r="K41" s="20">
        <v>0.71599999999999997</v>
      </c>
      <c r="R41" s="20">
        <v>0.5</v>
      </c>
      <c r="S41" s="20">
        <v>0.71599999999999997</v>
      </c>
    </row>
    <row r="42" spans="2:19" x14ac:dyDescent="0.15">
      <c r="B42" s="1" t="s">
        <v>109</v>
      </c>
      <c r="I42" s="20">
        <f>SUM(I37:I41)</f>
        <v>3.62</v>
      </c>
      <c r="K42" s="20">
        <f>SUM(K37:K41)</f>
        <v>10.503</v>
      </c>
      <c r="R42" s="20">
        <f>SUM(R37:R41)</f>
        <v>2.1890000000000001</v>
      </c>
      <c r="S42" s="20">
        <f>SUM(S37:S41)</f>
        <v>4.6150000000000002</v>
      </c>
    </row>
    <row r="43" spans="2:19" s="2" customFormat="1" x14ac:dyDescent="0.15">
      <c r="B43" s="2" t="s">
        <v>107</v>
      </c>
      <c r="D43" s="28"/>
      <c r="F43" s="28"/>
      <c r="H43" s="28"/>
      <c r="I43" s="33">
        <v>3.4140000000000001</v>
      </c>
      <c r="J43" s="28">
        <v>7.1</v>
      </c>
      <c r="K43" s="33">
        <v>7.0860000000000003</v>
      </c>
      <c r="L43" s="71"/>
      <c r="R43" s="33">
        <v>1.9550000000000001</v>
      </c>
      <c r="S43" s="33">
        <v>3.1419999999999999</v>
      </c>
    </row>
    <row r="44" spans="2:19" x14ac:dyDescent="0.15">
      <c r="B44" s="1" t="s">
        <v>108</v>
      </c>
      <c r="I44" s="20">
        <v>6.0339999999999998</v>
      </c>
      <c r="K44" s="20">
        <v>4.8319999999999999</v>
      </c>
      <c r="R44" s="20">
        <v>1.746</v>
      </c>
      <c r="S44" s="20">
        <v>5.1909999999999998</v>
      </c>
    </row>
    <row r="45" spans="2:19" s="2" customFormat="1" x14ac:dyDescent="0.15">
      <c r="B45" s="2" t="s">
        <v>6</v>
      </c>
      <c r="D45" s="28"/>
      <c r="F45" s="28"/>
      <c r="H45" s="28"/>
      <c r="I45" s="33">
        <v>9.8940000000000001</v>
      </c>
      <c r="J45" s="28"/>
      <c r="K45" s="33">
        <v>3.851</v>
      </c>
      <c r="L45" s="71"/>
      <c r="R45" s="33">
        <v>11.939</v>
      </c>
      <c r="S45" s="33">
        <v>5.8230000000000004</v>
      </c>
    </row>
    <row r="46" spans="2:19" x14ac:dyDescent="0.15">
      <c r="B46" s="1" t="s">
        <v>100</v>
      </c>
      <c r="I46" s="20">
        <f>SUM(I42:I45)</f>
        <v>22.962000000000003</v>
      </c>
      <c r="K46" s="20">
        <f>SUM(K42:K45)</f>
        <v>26.271999999999998</v>
      </c>
      <c r="R46" s="20">
        <f>SUM(R42:R45)</f>
        <v>17.829000000000001</v>
      </c>
      <c r="S46" s="20">
        <f>SUM(S42:S45)</f>
        <v>18.771000000000001</v>
      </c>
    </row>
    <row r="47" spans="2:19" x14ac:dyDescent="0.15">
      <c r="I47" s="20"/>
      <c r="K47" s="20"/>
      <c r="R47" s="20"/>
      <c r="S47" s="20"/>
    </row>
    <row r="48" spans="2:19" x14ac:dyDescent="0.15">
      <c r="B48" s="1" t="s">
        <v>110</v>
      </c>
      <c r="I48" s="20">
        <v>0</v>
      </c>
      <c r="K48" s="20">
        <v>0.92900000000000005</v>
      </c>
      <c r="R48" s="20">
        <v>0</v>
      </c>
      <c r="S48" s="20">
        <v>0.127</v>
      </c>
    </row>
    <row r="49" spans="2:19" x14ac:dyDescent="0.15">
      <c r="B49" s="1" t="s">
        <v>111</v>
      </c>
      <c r="I49" s="20">
        <v>0.84299999999999997</v>
      </c>
      <c r="K49" s="20">
        <v>5.0140000000000002</v>
      </c>
      <c r="R49" s="20">
        <v>0.28100000000000003</v>
      </c>
      <c r="S49" s="20">
        <v>0.68600000000000005</v>
      </c>
    </row>
    <row r="50" spans="2:19" x14ac:dyDescent="0.15">
      <c r="B50" s="1" t="s">
        <v>112</v>
      </c>
      <c r="I50" s="20">
        <f>SUM(I48:I49)</f>
        <v>0.84299999999999997</v>
      </c>
      <c r="K50" s="20">
        <f>SUM(K48:K49)</f>
        <v>5.9430000000000005</v>
      </c>
      <c r="R50" s="20">
        <f>SUM(R48:R49)</f>
        <v>0.28100000000000003</v>
      </c>
      <c r="S50" s="20">
        <f>SUM(S48:S49)</f>
        <v>0.81300000000000006</v>
      </c>
    </row>
    <row r="51" spans="2:19" x14ac:dyDescent="0.15">
      <c r="B51" s="1" t="s">
        <v>113</v>
      </c>
      <c r="I51" s="20">
        <v>8.0730000000000004</v>
      </c>
      <c r="K51" s="20">
        <v>11.032</v>
      </c>
      <c r="R51" s="20">
        <v>5.0880000000000001</v>
      </c>
      <c r="S51" s="20">
        <v>5.9080000000000004</v>
      </c>
    </row>
    <row r="52" spans="2:19" x14ac:dyDescent="0.15">
      <c r="B52" s="1" t="s">
        <v>114</v>
      </c>
      <c r="I52" s="20">
        <v>1.36</v>
      </c>
      <c r="K52" s="20">
        <v>1.0109999999999999</v>
      </c>
      <c r="R52" s="20">
        <v>1.113</v>
      </c>
      <c r="S52" s="20">
        <v>0.871</v>
      </c>
    </row>
    <row r="53" spans="2:19" x14ac:dyDescent="0.15">
      <c r="B53" s="1" t="s">
        <v>110</v>
      </c>
      <c r="I53" s="20">
        <v>0</v>
      </c>
      <c r="K53" s="20">
        <v>0</v>
      </c>
      <c r="R53" s="20">
        <v>0</v>
      </c>
      <c r="S53" s="20">
        <v>0.17899999999999999</v>
      </c>
    </row>
    <row r="54" spans="2:19" x14ac:dyDescent="0.15">
      <c r="B54" s="1" t="s">
        <v>111</v>
      </c>
      <c r="I54" s="20">
        <v>0.61299999999999999</v>
      </c>
      <c r="K54" s="20">
        <v>0.60499999999999998</v>
      </c>
      <c r="R54" s="20">
        <v>0.16400000000000001</v>
      </c>
      <c r="S54" s="20">
        <v>0.28499999999999998</v>
      </c>
    </row>
    <row r="55" spans="2:19" x14ac:dyDescent="0.15">
      <c r="B55" s="1" t="s">
        <v>101</v>
      </c>
      <c r="I55" s="20">
        <f>SUM(I50:I54)</f>
        <v>10.888999999999999</v>
      </c>
      <c r="K55" s="20">
        <f>SUM(K50:K54)</f>
        <v>18.591000000000001</v>
      </c>
      <c r="R55" s="20">
        <f>SUM(R50:R54)</f>
        <v>6.645999999999999</v>
      </c>
      <c r="S55" s="20">
        <f>SUM(S50:S54)</f>
        <v>8.0560000000000009</v>
      </c>
    </row>
    <row r="56" spans="2:19" x14ac:dyDescent="0.15">
      <c r="I56" s="20"/>
      <c r="K56" s="20"/>
    </row>
    <row r="57" spans="2:19" x14ac:dyDescent="0.15">
      <c r="B57" s="1" t="s">
        <v>90</v>
      </c>
      <c r="I57" s="20">
        <v>12.073</v>
      </c>
      <c r="K57" s="20">
        <v>7.681</v>
      </c>
      <c r="R57" s="20">
        <v>11.183</v>
      </c>
      <c r="S57" s="1">
        <v>10.715</v>
      </c>
    </row>
    <row r="58" spans="2:19" x14ac:dyDescent="0.15">
      <c r="B58" s="1" t="s">
        <v>91</v>
      </c>
      <c r="I58" s="20">
        <f>I57+I55</f>
        <v>22.962</v>
      </c>
      <c r="K58" s="20">
        <f>K57+K55</f>
        <v>26.272000000000002</v>
      </c>
      <c r="R58" s="20">
        <f>R57+R55</f>
        <v>17.829000000000001</v>
      </c>
      <c r="S58" s="20">
        <f>S57+S55</f>
        <v>18.771000000000001</v>
      </c>
    </row>
    <row r="59" spans="2:19" x14ac:dyDescent="0.15">
      <c r="K59" s="20"/>
    </row>
    <row r="60" spans="2:19" x14ac:dyDescent="0.15">
      <c r="B60" s="1" t="s">
        <v>92</v>
      </c>
      <c r="I60" s="20">
        <f>I46-I55</f>
        <v>12.073000000000004</v>
      </c>
      <c r="K60" s="20">
        <f>K46-K55</f>
        <v>7.6809999999999974</v>
      </c>
      <c r="R60" s="20">
        <f t="shared" ref="R60:S60" si="10">R46-R55</f>
        <v>11.183000000000002</v>
      </c>
      <c r="S60" s="20">
        <f>S46-S55</f>
        <v>10.715</v>
      </c>
    </row>
    <row r="61" spans="2:19" x14ac:dyDescent="0.15">
      <c r="B61" s="1" t="s">
        <v>93</v>
      </c>
      <c r="I61" s="1">
        <f>I60/I22</f>
        <v>0.2299619135223587</v>
      </c>
      <c r="K61" s="1">
        <f>K60/K22</f>
        <v>0.14630476747827681</v>
      </c>
      <c r="R61" s="1">
        <f t="shared" ref="R61" si="11">R60/R22</f>
        <v>0.21321258341277408</v>
      </c>
      <c r="S61" s="1">
        <f>S60/S22</f>
        <v>0.20428979980934223</v>
      </c>
    </row>
    <row r="63" spans="2:19" s="29" customFormat="1" x14ac:dyDescent="0.15">
      <c r="B63" s="29" t="s">
        <v>6</v>
      </c>
      <c r="D63" s="30"/>
      <c r="F63" s="30"/>
      <c r="H63" s="30"/>
      <c r="I63" s="32">
        <f>I40+I45</f>
        <v>9.8940000000000001</v>
      </c>
      <c r="J63" s="30"/>
      <c r="K63" s="32">
        <f>K40+K45</f>
        <v>4.2919999999999998</v>
      </c>
      <c r="L63" s="72"/>
      <c r="R63" s="32">
        <f t="shared" ref="R63:S63" si="12">R40+R45</f>
        <v>11.939</v>
      </c>
      <c r="S63" s="32">
        <f>S40+S45</f>
        <v>5.8230000000000004</v>
      </c>
    </row>
    <row r="64" spans="2:19" s="29" customFormat="1" x14ac:dyDescent="0.15">
      <c r="B64" s="29" t="s">
        <v>94</v>
      </c>
      <c r="D64" s="30"/>
      <c r="F64" s="30"/>
      <c r="H64" s="30"/>
      <c r="I64" s="32">
        <v>0</v>
      </c>
      <c r="J64" s="30"/>
      <c r="K64" s="32">
        <v>0</v>
      </c>
      <c r="L64" s="72"/>
      <c r="R64" s="32">
        <v>0</v>
      </c>
      <c r="S64" s="32">
        <v>0</v>
      </c>
    </row>
    <row r="65" spans="1:19" x14ac:dyDescent="0.15">
      <c r="B65" s="1" t="s">
        <v>8</v>
      </c>
      <c r="I65" s="20">
        <f>I63-I64</f>
        <v>9.8940000000000001</v>
      </c>
      <c r="K65" s="20">
        <f>K63-K64</f>
        <v>4.2919999999999998</v>
      </c>
      <c r="R65" s="20">
        <f t="shared" ref="R65" si="13">R63-R64</f>
        <v>11.939</v>
      </c>
      <c r="S65" s="20">
        <f>S63-S64</f>
        <v>5.8230000000000004</v>
      </c>
    </row>
    <row r="67" spans="1:19" s="2" customFormat="1" x14ac:dyDescent="0.15">
      <c r="B67" s="2" t="s">
        <v>96</v>
      </c>
      <c r="D67" s="28"/>
      <c r="F67" s="28"/>
      <c r="H67" s="28"/>
      <c r="J67" s="28"/>
      <c r="K67" s="36">
        <f>K43/I43-1</f>
        <v>1.0755711775043935</v>
      </c>
      <c r="L67" s="71"/>
      <c r="S67" s="36">
        <f>S45/R45-1</f>
        <v>-0.51227070943965147</v>
      </c>
    </row>
    <row r="68" spans="1:19" x14ac:dyDescent="0.15">
      <c r="B68" s="1" t="s">
        <v>95</v>
      </c>
      <c r="K68" s="34">
        <f>K43/J43-1</f>
        <v>-1.9718309859153571E-3</v>
      </c>
    </row>
    <row r="69" spans="1:19" x14ac:dyDescent="0.15">
      <c r="B69" s="1" t="s">
        <v>97</v>
      </c>
      <c r="K69" s="34">
        <f>K43/SUM(J6:K6)</f>
        <v>0.13101599334381067</v>
      </c>
      <c r="S69" s="34">
        <f>S43/S6</f>
        <v>5.4817942320777427E-2</v>
      </c>
    </row>
    <row r="71" spans="1:19" s="40" customFormat="1" x14ac:dyDescent="0.15">
      <c r="B71" s="40" t="s">
        <v>98</v>
      </c>
      <c r="D71" s="41"/>
      <c r="F71" s="41"/>
      <c r="H71" s="41"/>
      <c r="I71" s="40">
        <v>1.28</v>
      </c>
      <c r="J71" s="41">
        <f>S71</f>
        <v>0.77500000000000002</v>
      </c>
      <c r="K71" s="40">
        <v>0.17499999999999999</v>
      </c>
      <c r="L71" s="74"/>
      <c r="R71" s="40">
        <v>2.2200000000000002</v>
      </c>
      <c r="S71" s="40">
        <v>0.77500000000000002</v>
      </c>
    </row>
    <row r="72" spans="1:19" x14ac:dyDescent="0.15">
      <c r="B72" s="1" t="s">
        <v>5</v>
      </c>
      <c r="I72" s="20">
        <f>I71*I22</f>
        <v>67.199997440000004</v>
      </c>
      <c r="J72" s="52">
        <f>J71*J22</f>
        <v>40.648750000000007</v>
      </c>
      <c r="K72" s="20">
        <f>K71*K22</f>
        <v>9.1874996499999995</v>
      </c>
      <c r="R72" s="20">
        <f>R71*R22</f>
        <v>116.43900000000002</v>
      </c>
      <c r="S72" s="20">
        <f>S71*S22</f>
        <v>40.648750000000007</v>
      </c>
    </row>
    <row r="73" spans="1:19" x14ac:dyDescent="0.15">
      <c r="B73" s="1" t="s">
        <v>9</v>
      </c>
      <c r="I73" s="20">
        <f>I72-I65</f>
        <v>57.305997440000006</v>
      </c>
      <c r="J73" s="52">
        <f>J72-J65</f>
        <v>40.648750000000007</v>
      </c>
      <c r="K73" s="20">
        <f>K72-K65</f>
        <v>4.8954996499999996</v>
      </c>
      <c r="R73" s="20">
        <f>R72-R65</f>
        <v>104.50000000000003</v>
      </c>
      <c r="S73" s="20">
        <f>S72-S65</f>
        <v>34.825750000000006</v>
      </c>
    </row>
    <row r="75" spans="1:19" x14ac:dyDescent="0.15">
      <c r="A75" s="48">
        <f>AVERAGE(C75:K75)</f>
        <v>3.3811361887529907</v>
      </c>
      <c r="B75" s="1" t="s">
        <v>23</v>
      </c>
      <c r="I75" s="47">
        <f>I71/I61</f>
        <v>5.5661391070984818</v>
      </c>
      <c r="K75" s="47">
        <f>K71/K61</f>
        <v>1.1961332704074994</v>
      </c>
      <c r="R75" s="47">
        <f>R71/R61</f>
        <v>10.412143431994993</v>
      </c>
      <c r="S75" s="47">
        <f>S71/S61</f>
        <v>3.7936304246383576</v>
      </c>
    </row>
    <row r="76" spans="1:19" x14ac:dyDescent="0.15">
      <c r="B76" s="1" t="s">
        <v>22</v>
      </c>
      <c r="J76" s="62">
        <f>J72/SUM(I6:J6)</f>
        <v>0.70919186279812285</v>
      </c>
      <c r="K76" s="47">
        <f>K72/SUM(J6:K6)</f>
        <v>0.16987149209577515</v>
      </c>
      <c r="R76" s="47">
        <f>R72/R6</f>
        <v>2.6046079856839284</v>
      </c>
      <c r="S76" s="47">
        <f>S72/S6</f>
        <v>0.70919186279812285</v>
      </c>
    </row>
    <row r="77" spans="1:19" x14ac:dyDescent="0.15">
      <c r="B77" s="1" t="s">
        <v>99</v>
      </c>
      <c r="R77" s="47">
        <f>R73/R6</f>
        <v>2.3375461357789962</v>
      </c>
      <c r="S77" s="47">
        <f>S73/S6</f>
        <v>0.60759896714761774</v>
      </c>
    </row>
    <row r="78" spans="1:19" x14ac:dyDescent="0.15">
      <c r="B78" s="1" t="s">
        <v>21</v>
      </c>
      <c r="J78" s="62">
        <f>J71/(J21*100)</f>
        <v>-0.16181827229299339</v>
      </c>
      <c r="K78" s="47">
        <f>K71/(K21*100)</f>
        <v>-4.8177764289459912E-2</v>
      </c>
      <c r="R78" s="47">
        <f>R71/(R21*100)</f>
        <v>1.8630240000000082</v>
      </c>
      <c r="S78" s="47">
        <f>S71/(S21*100)</f>
        <v>-0.30585966892400263</v>
      </c>
    </row>
    <row r="79" spans="1:19" x14ac:dyDescent="0.15">
      <c r="B79" s="1" t="s">
        <v>20</v>
      </c>
    </row>
    <row r="80" spans="1:19" x14ac:dyDescent="0.15">
      <c r="B80" s="1" t="s">
        <v>24</v>
      </c>
    </row>
  </sheetData>
  <hyperlinks>
    <hyperlink ref="K1" r:id="rId1" xr:uid="{D5B2DF6B-4E6D-46ED-B187-AC88AEF51DB4}"/>
    <hyperlink ref="S1" r:id="rId2" xr:uid="{7C6EFD66-A739-4EA1-B39F-D7223868EDED}"/>
    <hyperlink ref="R1" r:id="rId3" xr:uid="{3C5222DD-C85E-47A5-A885-C02CDCB43447}"/>
  </hyperlinks>
  <pageMargins left="0.7" right="0.7" top="0.75" bottom="0.75" header="0.3" footer="0.3"/>
  <pageSetup paperSize="256" orientation="portrait" horizontalDpi="203" verticalDpi="203" r:id="rId4"/>
  <ignoredErrors>
    <ignoredError sqref="J6:J8 J14:J20" formula="1"/>
  </ignoredError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2022-12-08T13:26:44Z</dcterms:created>
  <dcterms:modified xsi:type="dcterms:W3CDTF">2022-12-10T12:31:03Z</dcterms:modified>
</cp:coreProperties>
</file>