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5EFF9C81-D14B-4003-9A08-215F92B60A4A}" xr6:coauthVersionLast="36" xr6:coauthVersionMax="47" xr10:uidLastSave="{00000000-0000-0000-0000-000000000000}"/>
  <bookViews>
    <workbookView xWindow="-120" yWindow="-120" windowWidth="29040" windowHeight="15720" activeTab="1" xr2:uid="{DBC686BB-2718-4D0D-A16A-D84819AF3AE6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2" l="1"/>
  <c r="C85" i="2"/>
  <c r="I31" i="2"/>
  <c r="H31" i="2"/>
  <c r="G31" i="2"/>
  <c r="N30" i="2"/>
  <c r="L30" i="2"/>
  <c r="K30" i="2"/>
  <c r="J30" i="2"/>
  <c r="F31" i="2"/>
  <c r="F28" i="2"/>
  <c r="F27" i="2"/>
  <c r="F26" i="2"/>
  <c r="F25" i="2"/>
  <c r="F22" i="2"/>
  <c r="F20" i="2"/>
  <c r="F18" i="2"/>
  <c r="F17" i="2"/>
  <c r="F16" i="2"/>
  <c r="F15" i="2"/>
  <c r="F14" i="2"/>
  <c r="F13" i="2"/>
  <c r="F10" i="2"/>
  <c r="F11" i="2" s="1"/>
  <c r="F9" i="2"/>
  <c r="F8" i="2"/>
  <c r="F6" i="2"/>
  <c r="F5" i="2"/>
  <c r="F4" i="2"/>
  <c r="K31" i="2"/>
  <c r="J31" i="2"/>
  <c r="J28" i="2"/>
  <c r="J27" i="2"/>
  <c r="J26" i="2"/>
  <c r="J25" i="2"/>
  <c r="J22" i="2"/>
  <c r="J20" i="2"/>
  <c r="J18" i="2"/>
  <c r="J16" i="2"/>
  <c r="J15" i="2"/>
  <c r="J14" i="2"/>
  <c r="J13" i="2"/>
  <c r="J10" i="2"/>
  <c r="J9" i="2"/>
  <c r="J8" i="2"/>
  <c r="J6" i="2"/>
  <c r="J5" i="2"/>
  <c r="J4" i="2"/>
  <c r="J23" i="2"/>
  <c r="F23" i="2"/>
  <c r="G30" i="2"/>
  <c r="D31" i="2"/>
  <c r="C28" i="2"/>
  <c r="C27" i="2"/>
  <c r="C26" i="2"/>
  <c r="C25" i="2"/>
  <c r="C22" i="2"/>
  <c r="G28" i="2"/>
  <c r="G27" i="2"/>
  <c r="G26" i="2"/>
  <c r="G25" i="2"/>
  <c r="G22" i="2"/>
  <c r="F65" i="2"/>
  <c r="E65" i="2"/>
  <c r="C65" i="2"/>
  <c r="F58" i="2"/>
  <c r="E58" i="2"/>
  <c r="D58" i="2"/>
  <c r="D65" i="2" s="1"/>
  <c r="C58" i="2"/>
  <c r="D49" i="2"/>
  <c r="F42" i="2"/>
  <c r="F49" i="2" s="1"/>
  <c r="E42" i="2"/>
  <c r="E49" i="2" s="1"/>
  <c r="D42" i="2"/>
  <c r="C42" i="2"/>
  <c r="C49" i="2" s="1"/>
  <c r="E31" i="2"/>
  <c r="H30" i="2"/>
  <c r="D28" i="2"/>
  <c r="D27" i="2"/>
  <c r="D26" i="2"/>
  <c r="D25" i="2"/>
  <c r="D22" i="2"/>
  <c r="H28" i="2"/>
  <c r="H27" i="2"/>
  <c r="H26" i="2"/>
  <c r="H25" i="2"/>
  <c r="H22" i="2"/>
  <c r="I30" i="2"/>
  <c r="E28" i="2"/>
  <c r="E27" i="2"/>
  <c r="E26" i="2"/>
  <c r="E25" i="2"/>
  <c r="E22" i="2"/>
  <c r="E21" i="2"/>
  <c r="C11" i="2"/>
  <c r="C7" i="2"/>
  <c r="D11" i="2"/>
  <c r="D7" i="2"/>
  <c r="E11" i="2"/>
  <c r="E7" i="2"/>
  <c r="F7" i="2" l="1"/>
  <c r="F12" i="2" s="1"/>
  <c r="F19" i="2" s="1"/>
  <c r="F21" i="2" s="1"/>
  <c r="C12" i="2"/>
  <c r="C17" i="2" s="1"/>
  <c r="C19" i="2" s="1"/>
  <c r="C21" i="2" s="1"/>
  <c r="D12" i="2"/>
  <c r="D17" i="2" s="1"/>
  <c r="D19" i="2" s="1"/>
  <c r="D21" i="2" s="1"/>
  <c r="E12" i="2"/>
  <c r="E17" i="2" s="1"/>
  <c r="E19" i="2" s="1"/>
  <c r="M78" i="2"/>
  <c r="O78" i="2"/>
  <c r="P78" i="2"/>
  <c r="Y85" i="2" l="1"/>
  <c r="Y87" i="2" s="1"/>
  <c r="Y88" i="2" s="1"/>
  <c r="Z85" i="2"/>
  <c r="Z87" i="2" s="1"/>
  <c r="Z88" i="2" s="1"/>
  <c r="AA85" i="2"/>
  <c r="AA87" i="2" s="1"/>
  <c r="AA88" i="2" s="1"/>
  <c r="AA30" i="2"/>
  <c r="Y11" i="2"/>
  <c r="Y7" i="2"/>
  <c r="Z11" i="2"/>
  <c r="Z7" i="2"/>
  <c r="Z30" i="2" s="1"/>
  <c r="N23" i="2"/>
  <c r="N78" i="2" s="1"/>
  <c r="N8" i="2"/>
  <c r="N20" i="2"/>
  <c r="N18" i="2"/>
  <c r="N16" i="2"/>
  <c r="N15" i="2"/>
  <c r="N14" i="2"/>
  <c r="N13" i="2"/>
  <c r="N10" i="2"/>
  <c r="N9" i="2"/>
  <c r="N6" i="2"/>
  <c r="N5" i="2"/>
  <c r="N4" i="2"/>
  <c r="AA11" i="2"/>
  <c r="AA7" i="2"/>
  <c r="AA3" i="2"/>
  <c r="J11" i="2"/>
  <c r="I11" i="2"/>
  <c r="H11" i="2"/>
  <c r="G11" i="2"/>
  <c r="J7" i="2"/>
  <c r="I7" i="2"/>
  <c r="M30" i="2" s="1"/>
  <c r="H7" i="2"/>
  <c r="G7" i="2"/>
  <c r="M11" i="2"/>
  <c r="M7" i="2"/>
  <c r="O74" i="2"/>
  <c r="O73" i="2"/>
  <c r="O75" i="2" s="1"/>
  <c r="O79" i="2" s="1"/>
  <c r="O46" i="2"/>
  <c r="H65" i="2"/>
  <c r="O58" i="2"/>
  <c r="O65" i="2" s="1"/>
  <c r="O68" i="2" s="1"/>
  <c r="N58" i="2"/>
  <c r="N65" i="2" s="1"/>
  <c r="M58" i="2"/>
  <c r="M65" i="2" s="1"/>
  <c r="L58" i="2"/>
  <c r="L65" i="2" s="1"/>
  <c r="K58" i="2"/>
  <c r="K65" i="2" s="1"/>
  <c r="J58" i="2"/>
  <c r="J65" i="2" s="1"/>
  <c r="I58" i="2"/>
  <c r="I65" i="2" s="1"/>
  <c r="H58" i="2"/>
  <c r="G58" i="2"/>
  <c r="G65" i="2" s="1"/>
  <c r="N49" i="2"/>
  <c r="P49" i="2"/>
  <c r="O42" i="2"/>
  <c r="N42" i="2"/>
  <c r="M42" i="2"/>
  <c r="M49" i="2" s="1"/>
  <c r="L42" i="2"/>
  <c r="L49" i="2" s="1"/>
  <c r="K42" i="2"/>
  <c r="K49" i="2" s="1"/>
  <c r="J42" i="2"/>
  <c r="J49" i="2" s="1"/>
  <c r="I42" i="2"/>
  <c r="I49" i="2" s="1"/>
  <c r="H42" i="2"/>
  <c r="H49" i="2" s="1"/>
  <c r="G42" i="2"/>
  <c r="G49" i="2" s="1"/>
  <c r="K11" i="2"/>
  <c r="K7" i="2"/>
  <c r="O11" i="2"/>
  <c r="O7" i="2"/>
  <c r="O30" i="2" s="1"/>
  <c r="L84" i="2"/>
  <c r="P84" i="2"/>
  <c r="L83" i="2"/>
  <c r="P83" i="2"/>
  <c r="P85" i="2" s="1"/>
  <c r="K85" i="2"/>
  <c r="O85" i="2"/>
  <c r="D11" i="1"/>
  <c r="D10" i="1"/>
  <c r="D9" i="1"/>
  <c r="D7" i="1"/>
  <c r="P74" i="2"/>
  <c r="C10" i="1" s="1"/>
  <c r="P73" i="2"/>
  <c r="C9" i="1" s="1"/>
  <c r="P58" i="2"/>
  <c r="P65" i="2" s="1"/>
  <c r="P46" i="2"/>
  <c r="P42" i="2"/>
  <c r="L11" i="2"/>
  <c r="L7" i="2"/>
  <c r="P11" i="2"/>
  <c r="P7" i="2"/>
  <c r="P31" i="2" s="1"/>
  <c r="O49" i="2" l="1"/>
  <c r="O70" i="2" s="1"/>
  <c r="O71" i="2" s="1"/>
  <c r="M12" i="2"/>
  <c r="G12" i="2"/>
  <c r="G17" i="2" s="1"/>
  <c r="G19" i="2" s="1"/>
  <c r="G21" i="2" s="1"/>
  <c r="H12" i="2"/>
  <c r="H17" i="2" s="1"/>
  <c r="H19" i="2" s="1"/>
  <c r="H21" i="2" s="1"/>
  <c r="L12" i="2"/>
  <c r="L25" i="2" s="1"/>
  <c r="J12" i="2"/>
  <c r="J17" i="2" s="1"/>
  <c r="J19" i="2" s="1"/>
  <c r="J21" i="2" s="1"/>
  <c r="M17" i="2"/>
  <c r="M25" i="2"/>
  <c r="P30" i="2"/>
  <c r="L31" i="2"/>
  <c r="M31" i="2"/>
  <c r="M84" i="2"/>
  <c r="L85" i="2"/>
  <c r="M83" i="2"/>
  <c r="N83" i="2" s="1"/>
  <c r="Y12" i="2"/>
  <c r="Z12" i="2"/>
  <c r="Z25" i="2" s="1"/>
  <c r="N11" i="2"/>
  <c r="N7" i="2"/>
  <c r="AA12" i="2"/>
  <c r="I12" i="2"/>
  <c r="K12" i="2"/>
  <c r="O12" i="2"/>
  <c r="P68" i="2"/>
  <c r="P70" i="2"/>
  <c r="P71" i="2" s="1"/>
  <c r="C34" i="1" s="1"/>
  <c r="P75" i="2"/>
  <c r="P79" i="2" s="1"/>
  <c r="P12" i="2"/>
  <c r="L17" i="2" l="1"/>
  <c r="M19" i="2"/>
  <c r="M26" i="2"/>
  <c r="Y17" i="2"/>
  <c r="Y25" i="2"/>
  <c r="O31" i="2"/>
  <c r="N31" i="2"/>
  <c r="C35" i="1"/>
  <c r="M85" i="2"/>
  <c r="N84" i="2"/>
  <c r="N85" i="2" s="1"/>
  <c r="I17" i="2"/>
  <c r="I25" i="2"/>
  <c r="AA17" i="2"/>
  <c r="AA25" i="2"/>
  <c r="Z17" i="2"/>
  <c r="N12" i="2"/>
  <c r="K17" i="2"/>
  <c r="K25" i="2"/>
  <c r="O17" i="2"/>
  <c r="O25" i="2"/>
  <c r="P25" i="2"/>
  <c r="P17" i="2"/>
  <c r="L19" i="2"/>
  <c r="L26" i="2"/>
  <c r="O87" i="2" l="1"/>
  <c r="O88" i="2" s="1"/>
  <c r="O89" i="2" s="1"/>
  <c r="N87" i="2"/>
  <c r="N88" i="2" s="1"/>
  <c r="N89" i="2" s="1"/>
  <c r="AA19" i="2"/>
  <c r="AA28" i="2" s="1"/>
  <c r="AA26" i="2"/>
  <c r="M21" i="2"/>
  <c r="M28" i="2"/>
  <c r="Y19" i="2"/>
  <c r="Y26" i="2"/>
  <c r="I26" i="2"/>
  <c r="I19" i="2"/>
  <c r="P87" i="2"/>
  <c r="P88" i="2" s="1"/>
  <c r="N17" i="2"/>
  <c r="N25" i="2"/>
  <c r="Z19" i="2"/>
  <c r="Z26" i="2"/>
  <c r="K19" i="2"/>
  <c r="K26" i="2"/>
  <c r="O19" i="2"/>
  <c r="O26" i="2"/>
  <c r="L21" i="2"/>
  <c r="L28" i="2"/>
  <c r="P19" i="2"/>
  <c r="P26" i="2"/>
  <c r="N19" i="2" l="1"/>
  <c r="N26" i="2"/>
  <c r="Z21" i="2"/>
  <c r="Z28" i="2"/>
  <c r="P89" i="2"/>
  <c r="C37" i="1"/>
  <c r="I21" i="2"/>
  <c r="I28" i="2"/>
  <c r="Y21" i="2"/>
  <c r="Y28" i="2"/>
  <c r="K21" i="2"/>
  <c r="K28" i="2"/>
  <c r="O21" i="2"/>
  <c r="O28" i="2"/>
  <c r="L27" i="2"/>
  <c r="L22" i="2"/>
  <c r="P28" i="2"/>
  <c r="P21" i="2"/>
  <c r="N21" i="2" l="1"/>
  <c r="N28" i="2"/>
  <c r="Z22" i="2"/>
  <c r="Z27" i="2"/>
  <c r="Y22" i="2"/>
  <c r="Y27" i="2"/>
  <c r="I27" i="2"/>
  <c r="I22" i="2"/>
  <c r="K27" i="2"/>
  <c r="K22" i="2"/>
  <c r="O22" i="2"/>
  <c r="O27" i="2"/>
  <c r="P22" i="2"/>
  <c r="P27" i="2"/>
  <c r="N22" i="2" l="1"/>
  <c r="N27" i="2"/>
  <c r="C8" i="1"/>
  <c r="C11" i="1"/>
  <c r="C12" i="1" l="1"/>
  <c r="AA21" i="2"/>
  <c r="M22" i="2"/>
  <c r="C36" i="1" s="1"/>
  <c r="M27" i="2"/>
  <c r="AA22" i="2" l="1"/>
  <c r="AA27" i="2"/>
</calcChain>
</file>

<file path=xl/sharedStrings.xml><?xml version="1.0" encoding="utf-8"?>
<sst xmlns="http://schemas.openxmlformats.org/spreadsheetml/2006/main" count="147" uniqueCount="134">
  <si>
    <t>$ADSK</t>
  </si>
  <si>
    <t>Autodesk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</si>
  <si>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</si>
  <si>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</si>
  <si>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</si>
  <si>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</si>
  <si>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</si>
  <si>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</si>
  <si>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</si>
  <si>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</si>
  <si>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</si>
  <si>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</si>
  <si>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</si>
  <si>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</si>
  <si>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CTO</t>
  </si>
  <si>
    <t>Key Events</t>
  </si>
  <si>
    <t>Profile</t>
  </si>
  <si>
    <t>HQ</t>
  </si>
  <si>
    <t>IPO</t>
  </si>
  <si>
    <t>Founded</t>
  </si>
  <si>
    <t>Update</t>
  </si>
  <si>
    <t>IR</t>
  </si>
  <si>
    <t>Link</t>
  </si>
  <si>
    <t>Employe.</t>
  </si>
  <si>
    <t>Valuation Metrics</t>
  </si>
  <si>
    <t>P/B</t>
  </si>
  <si>
    <t>P/S</t>
  </si>
  <si>
    <t>P/E</t>
  </si>
  <si>
    <t>Stockopedia</t>
  </si>
  <si>
    <t>San Fransisco, CA</t>
  </si>
  <si>
    <t>Q224</t>
  </si>
  <si>
    <t>Q124</t>
  </si>
  <si>
    <t>Q423</t>
  </si>
  <si>
    <t>Q323</t>
  </si>
  <si>
    <t>Q223</t>
  </si>
  <si>
    <t>Q123</t>
  </si>
  <si>
    <t>Subscription Revenue</t>
  </si>
  <si>
    <t>Maintenance Revenue</t>
  </si>
  <si>
    <t>Revenue</t>
  </si>
  <si>
    <t>Other Revenue</t>
  </si>
  <si>
    <t>Subscription COGS</t>
  </si>
  <si>
    <t>Other COGS</t>
  </si>
  <si>
    <t>COGS</t>
  </si>
  <si>
    <t>Amortization</t>
  </si>
  <si>
    <t>Gross Profit</t>
  </si>
  <si>
    <t>M&amp;S</t>
  </si>
  <si>
    <t>R&amp;D</t>
  </si>
  <si>
    <t>G&amp;A</t>
  </si>
  <si>
    <t>Amortization of Intangibles</t>
  </si>
  <si>
    <t>Operating Income</t>
  </si>
  <si>
    <t>Interest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</si>
  <si>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</si>
  <si>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</si>
  <si>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</si>
  <si>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</si>
  <si>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</si>
  <si>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</si>
  <si>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</si>
  <si>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</si>
  <si>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</si>
  <si>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</si>
  <si>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</si>
  <si>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</si>
  <si>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</si>
  <si>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Prepaid Expenses</t>
  </si>
  <si>
    <t>TCA</t>
  </si>
  <si>
    <t>Long-Term Marketable Securities</t>
  </si>
  <si>
    <t>Operating Lease ROU</t>
  </si>
  <si>
    <t>PP&amp;E</t>
  </si>
  <si>
    <t>Goodwill+Intangibles</t>
  </si>
  <si>
    <t>Deferred Taxes</t>
  </si>
  <si>
    <t>Long-Term Other Assets</t>
  </si>
  <si>
    <t>Assets</t>
  </si>
  <si>
    <t>A/P</t>
  </si>
  <si>
    <t>Accrued Compensation</t>
  </si>
  <si>
    <t>Accrued Taxes</t>
  </si>
  <si>
    <t>Deferred Revenue</t>
  </si>
  <si>
    <t>Operating Lease Liabilities</t>
  </si>
  <si>
    <t>Other Liabilities</t>
  </si>
  <si>
    <t>TCL</t>
  </si>
  <si>
    <t>Current portion of Notes</t>
  </si>
  <si>
    <t>Long-Term Deferred Revenue</t>
  </si>
  <si>
    <t>Long-Term Operating Lease</t>
  </si>
  <si>
    <t>Long-Term Income Tax</t>
  </si>
  <si>
    <t>Long-Term Notes Payable</t>
  </si>
  <si>
    <t>Long-Term Other Liabilities</t>
  </si>
  <si>
    <t>Liabilities</t>
  </si>
  <si>
    <t>S/E</t>
  </si>
  <si>
    <t>S/E+L</t>
  </si>
  <si>
    <t>Long-Term Deferred Taxes</t>
  </si>
  <si>
    <t>Book Value</t>
  </si>
  <si>
    <t>Book Value per Share</t>
  </si>
  <si>
    <t>Cashflow</t>
  </si>
  <si>
    <t>CFFO</t>
  </si>
  <si>
    <t>CapEx</t>
  </si>
  <si>
    <t>FCF</t>
  </si>
  <si>
    <t>FCF per Share</t>
  </si>
  <si>
    <t>Price to FCF</t>
  </si>
  <si>
    <t>FCF TTM</t>
  </si>
  <si>
    <t>Q125</t>
  </si>
  <si>
    <t>Q225</t>
  </si>
  <si>
    <t>Q424</t>
  </si>
  <si>
    <t>Q324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</si>
  <si>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</si>
  <si>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</si>
  <si>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</si>
  <si>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</si>
  <si>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</si>
  <si>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</si>
  <si>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</si>
  <si>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</si>
  <si>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</si>
  <si>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</si>
  <si>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Share Price</t>
  </si>
  <si>
    <t>P/FCF</t>
  </si>
  <si>
    <t>Ms. Elizabeth Rafael</t>
  </si>
  <si>
    <t>Interim</t>
  </si>
  <si>
    <t>Dr Andrew Anagnost</t>
  </si>
  <si>
    <t>President</t>
  </si>
  <si>
    <t>Steven Blum</t>
  </si>
  <si>
    <t>Founders</t>
  </si>
  <si>
    <t>John Walker</t>
  </si>
  <si>
    <t>Dan Drake</t>
  </si>
  <si>
    <t>Greg Lutz</t>
  </si>
  <si>
    <t>Q122</t>
  </si>
  <si>
    <t>Q222</t>
  </si>
  <si>
    <t>Q322</t>
  </si>
  <si>
    <t>Q422</t>
  </si>
  <si>
    <t>Q325</t>
  </si>
  <si>
    <t>Sum</t>
  </si>
  <si>
    <t>Average</t>
  </si>
  <si>
    <t>Running Total</t>
  </si>
  <si>
    <t>Count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</si>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</sst>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8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4" xfId="0" applyFont="1" applyFill="1" applyBorder="1"/>
    <xf numFmtId="0" fontId="2" fillId="0" borderId="0" xfId="0" applyFont="1" applyBorder="1"/>
    <xf numFmtId="0" fontId="1" fillId="2" borderId="6" xfId="0" applyFont="1" applyFill="1" applyBorder="1"/>
    <xf numFmtId="0" fontId="1" fillId="4" borderId="4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2" fillId="2" borderId="4" xfId="0" applyFont="1" applyFill="1" applyBorder="1"/>
    <xf numFmtId="0" fontId="2" fillId="4" borderId="0" xfId="0" applyFont="1" applyFill="1" applyBorder="1"/>
    <xf numFmtId="0" fontId="2" fillId="4" borderId="5" xfId="0" applyFont="1" applyFill="1" applyBorder="1"/>
    <xf numFmtId="0" fontId="2" fillId="2" borderId="6" xfId="0" applyFont="1" applyFill="1" applyBorder="1"/>
    <xf numFmtId="0" fontId="2" fillId="4" borderId="7" xfId="0" applyFont="1" applyFill="1" applyBorder="1"/>
    <xf numFmtId="0" fontId="2" fillId="4" borderId="8" xfId="0" applyFont="1" applyFill="1" applyBorder="1"/>
    <xf numFmtId="0" fontId="1" fillId="2" borderId="4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3" fontId="2" fillId="0" borderId="0" xfId="0" applyNumberFormat="1" applyFont="1" applyBorder="1"/>
    <xf numFmtId="3" fontId="2" fillId="0" borderId="7" xfId="0" applyNumberFormat="1" applyFont="1" applyBorder="1"/>
    <xf numFmtId="0" fontId="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5" fontId="3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14" fontId="3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 indent="1"/>
    </xf>
    <xf numFmtId="3" fontId="2" fillId="0" borderId="0" xfId="0" applyNumberFormat="1" applyFont="1"/>
    <xf numFmtId="3" fontId="1" fillId="0" borderId="0" xfId="0" applyNumberFormat="1" applyFont="1"/>
    <xf numFmtId="4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5" fontId="2" fillId="4" borderId="5" xfId="0" applyNumberFormat="1" applyFont="1" applyFill="1" applyBorder="1" applyAlignment="1">
      <alignment horizontal="center"/>
    </xf>
    <xf numFmtId="0" fontId="7" fillId="0" borderId="0" xfId="0" applyFont="1"/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4" fontId="2" fillId="4" borderId="0" xfId="0" applyNumberFormat="1" applyFont="1" applyFill="1" applyBorder="1" applyAlignment="1">
      <alignment horizontal="center"/>
    </xf>
    <xf numFmtId="164" fontId="2" fillId="4" borderId="5" xfId="0" applyNumberFormat="1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5" fillId="4" borderId="0" xfId="1" applyFont="1" applyFill="1" applyBorder="1" applyAlignment="1">
      <alignment horizontal="center"/>
    </xf>
    <xf numFmtId="0" fontId="5" fillId="4" borderId="5" xfId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164" fontId="2" fillId="0" borderId="0" xfId="0" applyNumberFormat="1" applyFont="1"/>
    <xf numFmtId="9" fontId="1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600075</xdr:colOff>
      <xdr:row>0</xdr:row>
      <xdr:rowOff>47625</xdr:rowOff>
    </xdr:from>
    <xdr:to>
      <xdr:col>3</xdr:col>
      <xdr:colOff>533400</xdr:colOff>
      <xdr:row>3</xdr:row>
      <xdr:rowOff>104775</xdr:rowOff>
    </xdr:to>
    <xdr:pic>
      <xdr:nvPicPr>
        <xdr:cNvPr id="2" name="Picture 1" descr="Autodesk logo">
          <a:extLst>
            <a:ext uri="{FF2B5EF4-FFF2-40B4-BE49-F238E27FC236}">
              <a16:creationId xmlns:a16="http://schemas.microsoft.com/office/drawing/2014/main" id="{66826965-404F-C3AC-92DA-5C6362E9C2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19275" y="47625"/>
          <a:ext cx="542925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investors.autodesk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sec.gov/Archives/edgar/data/769397/000076939723000193/adsk-20231031.htm" TargetMode="External"/><Relationship Id="rId7" Type="http://schemas.openxmlformats.org/officeDocument/2006/relationships/hyperlink" Target="https://investors.autodesk.com/static-files/3a99c4f1-52bc-4ad2-9c43-45333e1764af" TargetMode="External"/><Relationship Id="rId2" Type="http://schemas.openxmlformats.org/officeDocument/2006/relationships/hyperlink" Target="https://www.sec.gov/Archives/edgar/data/769397/000076939724000091/adsk-20240430.htm" TargetMode="External"/><Relationship Id="rId1" Type="http://schemas.openxmlformats.org/officeDocument/2006/relationships/hyperlink" Target="https://www.sec.gov/Archives/edgar/data/769397/000076939724000150/adsk-20240731.htm" TargetMode="External"/><Relationship Id="rId6" Type="http://schemas.openxmlformats.org/officeDocument/2006/relationships/hyperlink" Target="https://investors.autodesk.com/static-files/ad6c11c5-163c-436e-a2f8-967073891c52" TargetMode="External"/><Relationship Id="rId5" Type="http://schemas.openxmlformats.org/officeDocument/2006/relationships/hyperlink" Target="https://investors.autodesk.com/static-files/1f02f44a-9d12-4393-9871-2440c8abbd8e" TargetMode="External"/><Relationship Id="rId4" Type="http://schemas.openxmlformats.org/officeDocument/2006/relationships/hyperlink" Target="https://www.sec.gov/Archives/edgar/data/769397/000076939724000090/adsk-20240131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FD011-71B1-4504-B133-A0FB7BFF1926}">
  <dimension ref="A2:R40"/>
  <sheetViews>
    <sheetView workbookViewId="0">
      <selection activeCell="C30" sqref="C30:D30"/>
    </sheetView>
  </sheetViews>
  <sheetFormatPr defaultRowHeight="12.75" x14ac:dyDescent="0.2"/>
  <cols>
    <col min="1" max="3" width="9.140625" style="2"/>
    <col min="4" max="4" width="9.42578125" style="2" bestFit="1" customWidth="1"/>
    <col min="5" max="16384" width="9.140625" style="2"/>
  </cols>
  <sheetData>
    <row r="2" spans="1:18" x14ac:dyDescent="0.2">
      <c r="B2" s="1" t="s">
        <v>0</v>
      </c>
    </row>
    <row r="3" spans="1:18" x14ac:dyDescent="0.2">
      <c r="B3" s="1" t="s">
        <v>1</v>
      </c>
    </row>
    <row r="5" spans="1:18" x14ac:dyDescent="0.2">
      <c r="B5" s="40" t="s">
        <v>2</v>
      </c>
      <c r="C5" s="41"/>
      <c r="D5" s="42"/>
      <c r="G5" s="40" t="s">
        <v>15</v>
      </c>
      <c r="H5" s="41"/>
      <c r="I5" s="41"/>
      <c r="J5" s="41"/>
      <c r="K5" s="41"/>
      <c r="L5" s="41"/>
      <c r="M5" s="41"/>
      <c r="N5" s="41"/>
      <c r="O5" s="42"/>
    </row>
    <row r="6" spans="1:18" x14ac:dyDescent="0.2">
      <c r="B6" s="3" t="s">
        <v>3</v>
      </c>
      <c r="C6" s="4">
        <v>321.27</v>
      </c>
      <c r="D6" s="32"/>
      <c r="G6" s="8"/>
      <c r="H6" s="9"/>
      <c r="I6" s="9"/>
      <c r="J6" s="9"/>
      <c r="K6" s="9"/>
      <c r="L6" s="9"/>
      <c r="M6" s="9"/>
      <c r="N6" s="9"/>
      <c r="O6" s="10"/>
    </row>
    <row r="7" spans="1:18" x14ac:dyDescent="0.2">
      <c r="B7" s="3" t="s">
        <v>4</v>
      </c>
      <c r="C7" s="4">
        <v>216</v>
      </c>
      <c r="D7" s="32" t="str">
        <f>+$C$29</f>
        <v>Q224</v>
      </c>
      <c r="G7" s="8"/>
      <c r="H7" s="9"/>
      <c r="I7" s="9"/>
      <c r="J7" s="9"/>
      <c r="K7" s="9"/>
      <c r="L7" s="9"/>
      <c r="M7" s="9"/>
      <c r="N7" s="9"/>
      <c r="O7" s="10"/>
      <c r="R7" s="1" t="s">
        <v>120</v>
      </c>
    </row>
    <row r="8" spans="1:18" x14ac:dyDescent="0.2">
      <c r="B8" s="3" t="s">
        <v>5</v>
      </c>
      <c r="C8" s="16">
        <f>C6*C7</f>
        <v>69394.319999999992</v>
      </c>
      <c r="D8" s="32"/>
      <c r="G8" s="8"/>
      <c r="H8" s="9"/>
      <c r="I8" s="9"/>
      <c r="J8" s="9"/>
      <c r="K8" s="9"/>
      <c r="L8" s="9"/>
      <c r="M8" s="9"/>
      <c r="N8" s="9"/>
      <c r="O8" s="10"/>
      <c r="R8" s="2" t="s">
        <v>121</v>
      </c>
    </row>
    <row r="9" spans="1:18" x14ac:dyDescent="0.2">
      <c r="B9" s="3" t="s">
        <v>6</v>
      </c>
      <c r="C9" s="16">
        <f>+'Financial Model'!P73</f>
        <v>2109</v>
      </c>
      <c r="D9" s="32" t="str">
        <f t="shared" ref="D9:D11" si="0">+$C$29</f>
        <v>Q224</v>
      </c>
      <c r="G9" s="8"/>
      <c r="H9" s="9"/>
      <c r="I9" s="9"/>
      <c r="J9" s="9"/>
      <c r="K9" s="9"/>
      <c r="L9" s="9"/>
      <c r="M9" s="9"/>
      <c r="N9" s="9"/>
      <c r="O9" s="10"/>
      <c r="R9" s="2" t="s">
        <v>122</v>
      </c>
    </row>
    <row r="10" spans="1:18" x14ac:dyDescent="0.2">
      <c r="B10" s="3" t="s">
        <v>7</v>
      </c>
      <c r="C10" s="16">
        <f>+'Financial Model'!P74</f>
        <v>2286</v>
      </c>
      <c r="D10" s="32" t="str">
        <f t="shared" si="0"/>
        <v>Q224</v>
      </c>
      <c r="G10" s="8"/>
      <c r="H10" s="9"/>
      <c r="I10" s="9"/>
      <c r="J10" s="9"/>
      <c r="K10" s="9"/>
      <c r="L10" s="9"/>
      <c r="M10" s="9"/>
      <c r="N10" s="9"/>
      <c r="O10" s="10"/>
      <c r="R10" s="2" t="s">
        <v>123</v>
      </c>
    </row>
    <row r="11" spans="1:18" x14ac:dyDescent="0.2">
      <c r="B11" s="3" t="s">
        <v>8</v>
      </c>
      <c r="C11" s="16">
        <f>C9-C10</f>
        <v>-177</v>
      </c>
      <c r="D11" s="32" t="str">
        <f t="shared" si="0"/>
        <v>Q224</v>
      </c>
      <c r="G11" s="8"/>
      <c r="H11" s="9"/>
      <c r="I11" s="9"/>
      <c r="J11" s="9"/>
      <c r="K11" s="9"/>
      <c r="L11" s="9"/>
      <c r="M11" s="9"/>
      <c r="N11" s="9"/>
      <c r="O11" s="10"/>
    </row>
    <row r="12" spans="1:18" x14ac:dyDescent="0.2">
      <c r="B12" s="5" t="s">
        <v>9</v>
      </c>
      <c r="C12" s="17">
        <f>C8-C11</f>
        <v>69571.319999999992</v>
      </c>
      <c r="D12" s="33"/>
      <c r="G12" s="8"/>
      <c r="H12" s="9"/>
      <c r="I12" s="9"/>
      <c r="J12" s="9"/>
      <c r="K12" s="9"/>
      <c r="L12" s="9"/>
      <c r="M12" s="9"/>
      <c r="N12" s="9"/>
      <c r="O12" s="10"/>
    </row>
    <row r="13" spans="1:18" x14ac:dyDescent="0.2">
      <c r="G13" s="8"/>
      <c r="H13" s="9"/>
      <c r="I13" s="9"/>
      <c r="J13" s="9"/>
      <c r="K13" s="9"/>
      <c r="L13" s="9"/>
      <c r="M13" s="9"/>
      <c r="N13" s="9"/>
      <c r="O13" s="10"/>
    </row>
    <row r="14" spans="1:18" x14ac:dyDescent="0.2">
      <c r="G14" s="8"/>
      <c r="H14" s="9"/>
      <c r="I14" s="9"/>
      <c r="J14" s="9"/>
      <c r="K14" s="9"/>
      <c r="L14" s="9"/>
      <c r="M14" s="9"/>
      <c r="N14" s="9"/>
      <c r="O14" s="10"/>
    </row>
    <row r="15" spans="1:18" x14ac:dyDescent="0.2">
      <c r="B15" s="40" t="s">
        <v>10</v>
      </c>
      <c r="C15" s="41"/>
      <c r="D15" s="42"/>
      <c r="G15" s="8"/>
      <c r="H15" s="9"/>
      <c r="I15" s="9"/>
      <c r="J15" s="9"/>
      <c r="K15" s="9"/>
      <c r="L15" s="9"/>
      <c r="M15" s="9"/>
      <c r="N15" s="9"/>
      <c r="O15" s="10"/>
    </row>
    <row r="16" spans="1:18" x14ac:dyDescent="0.2">
      <c r="A16" s="18" t="s">
        <v>118</v>
      </c>
      <c r="B16" s="6" t="s">
        <v>11</v>
      </c>
      <c r="C16" s="36" t="s">
        <v>117</v>
      </c>
      <c r="D16" s="37"/>
      <c r="G16" s="8"/>
      <c r="H16" s="9"/>
      <c r="I16" s="9"/>
      <c r="J16" s="9"/>
      <c r="K16" s="9"/>
      <c r="L16" s="9"/>
      <c r="M16" s="9"/>
      <c r="N16" s="9"/>
      <c r="O16" s="10"/>
    </row>
    <row r="17" spans="1:15" x14ac:dyDescent="0.2">
      <c r="A17" s="18" t="s">
        <v>116</v>
      </c>
      <c r="B17" s="6" t="s">
        <v>12</v>
      </c>
      <c r="C17" s="36" t="s">
        <v>115</v>
      </c>
      <c r="D17" s="37"/>
      <c r="G17" s="8"/>
      <c r="H17" s="9"/>
      <c r="I17" s="9"/>
      <c r="J17" s="9"/>
      <c r="K17" s="9"/>
      <c r="L17" s="9"/>
      <c r="M17" s="9"/>
      <c r="N17" s="9"/>
      <c r="O17" s="10"/>
    </row>
    <row r="18" spans="1:15" x14ac:dyDescent="0.2">
      <c r="B18" s="6" t="s">
        <v>13</v>
      </c>
      <c r="C18" s="36" t="s">
        <v>119</v>
      </c>
      <c r="D18" s="37"/>
      <c r="G18" s="8"/>
      <c r="H18" s="9"/>
      <c r="I18" s="9"/>
      <c r="J18" s="9"/>
      <c r="K18" s="9"/>
      <c r="L18" s="9"/>
      <c r="M18" s="9"/>
      <c r="N18" s="9"/>
      <c r="O18" s="10"/>
    </row>
    <row r="19" spans="1:15" x14ac:dyDescent="0.2">
      <c r="B19" s="7" t="s">
        <v>14</v>
      </c>
      <c r="C19" s="43"/>
      <c r="D19" s="44"/>
      <c r="G19" s="8"/>
      <c r="H19" s="9"/>
      <c r="I19" s="9"/>
      <c r="J19" s="9"/>
      <c r="K19" s="9"/>
      <c r="L19" s="9"/>
      <c r="M19" s="9"/>
      <c r="N19" s="9"/>
      <c r="O19" s="10"/>
    </row>
    <row r="20" spans="1:15" x14ac:dyDescent="0.2">
      <c r="G20" s="8"/>
      <c r="H20" s="9"/>
      <c r="I20" s="9"/>
      <c r="J20" s="9"/>
      <c r="K20" s="9"/>
      <c r="L20" s="9"/>
      <c r="M20" s="9"/>
      <c r="N20" s="9"/>
      <c r="O20" s="10"/>
    </row>
    <row r="21" spans="1:15" x14ac:dyDescent="0.2">
      <c r="G21" s="8"/>
      <c r="H21" s="9"/>
      <c r="I21" s="9"/>
      <c r="J21" s="9"/>
      <c r="K21" s="9"/>
      <c r="L21" s="9"/>
      <c r="M21" s="9"/>
      <c r="N21" s="9"/>
      <c r="O21" s="10"/>
    </row>
    <row r="22" spans="1:15" x14ac:dyDescent="0.2">
      <c r="B22" s="40" t="s">
        <v>16</v>
      </c>
      <c r="C22" s="41"/>
      <c r="D22" s="42"/>
      <c r="G22" s="8"/>
      <c r="H22" s="9"/>
      <c r="I22" s="9"/>
      <c r="J22" s="9"/>
      <c r="K22" s="9"/>
      <c r="L22" s="9"/>
      <c r="M22" s="9"/>
      <c r="N22" s="9"/>
      <c r="O22" s="10"/>
    </row>
    <row r="23" spans="1:15" x14ac:dyDescent="0.2">
      <c r="B23" s="14" t="s">
        <v>17</v>
      </c>
      <c r="C23" s="36">
        <v>1982</v>
      </c>
      <c r="D23" s="37"/>
      <c r="G23" s="8"/>
      <c r="H23" s="9"/>
      <c r="I23" s="9"/>
      <c r="J23" s="9"/>
      <c r="K23" s="9"/>
      <c r="L23" s="9"/>
      <c r="M23" s="9"/>
      <c r="N23" s="9"/>
      <c r="O23" s="10"/>
    </row>
    <row r="24" spans="1:15" x14ac:dyDescent="0.2">
      <c r="B24" s="14" t="s">
        <v>19</v>
      </c>
      <c r="C24" s="36" t="s">
        <v>29</v>
      </c>
      <c r="D24" s="37"/>
      <c r="G24" s="8"/>
      <c r="H24" s="9"/>
      <c r="I24" s="9"/>
      <c r="J24" s="9"/>
      <c r="K24" s="9"/>
      <c r="L24" s="9"/>
      <c r="M24" s="9"/>
      <c r="N24" s="9"/>
      <c r="O24" s="10"/>
    </row>
    <row r="25" spans="1:15" x14ac:dyDescent="0.2">
      <c r="B25" s="14" t="s">
        <v>18</v>
      </c>
      <c r="C25" s="36">
        <v>1985</v>
      </c>
      <c r="D25" s="37"/>
      <c r="G25" s="8"/>
      <c r="H25" s="9"/>
      <c r="I25" s="9"/>
      <c r="J25" s="9"/>
      <c r="K25" s="9"/>
      <c r="L25" s="9"/>
      <c r="M25" s="9"/>
      <c r="N25" s="9"/>
      <c r="O25" s="10"/>
    </row>
    <row r="26" spans="1:15" x14ac:dyDescent="0.2">
      <c r="B26" s="14"/>
      <c r="C26" s="36"/>
      <c r="D26" s="37"/>
      <c r="G26" s="8"/>
      <c r="H26" s="9"/>
      <c r="I26" s="9"/>
      <c r="J26" s="9"/>
      <c r="K26" s="9"/>
      <c r="L26" s="9"/>
      <c r="M26" s="9"/>
      <c r="N26" s="9"/>
      <c r="O26" s="10"/>
    </row>
    <row r="27" spans="1:15" x14ac:dyDescent="0.2">
      <c r="B27" s="14" t="s">
        <v>23</v>
      </c>
      <c r="C27" s="36"/>
      <c r="D27" s="37"/>
      <c r="G27" s="8"/>
      <c r="H27" s="9"/>
      <c r="I27" s="9"/>
      <c r="J27" s="9"/>
      <c r="K27" s="9"/>
      <c r="L27" s="9"/>
      <c r="M27" s="9"/>
      <c r="N27" s="9"/>
      <c r="O27" s="10"/>
    </row>
    <row r="28" spans="1:15" x14ac:dyDescent="0.2">
      <c r="B28" s="14"/>
      <c r="C28" s="36"/>
      <c r="D28" s="37"/>
      <c r="G28" s="8"/>
      <c r="H28" s="9"/>
      <c r="I28" s="9"/>
      <c r="J28" s="9"/>
      <c r="K28" s="9"/>
      <c r="L28" s="9"/>
      <c r="M28" s="9"/>
      <c r="N28" s="9"/>
      <c r="O28" s="10"/>
    </row>
    <row r="29" spans="1:15" x14ac:dyDescent="0.2">
      <c r="B29" s="14" t="s">
        <v>20</v>
      </c>
      <c r="C29" s="15" t="s">
        <v>30</v>
      </c>
      <c r="D29" s="30">
        <v>45538</v>
      </c>
      <c r="G29" s="8"/>
      <c r="H29" s="9"/>
      <c r="I29" s="9"/>
      <c r="J29" s="9"/>
      <c r="K29" s="9"/>
      <c r="L29" s="9"/>
      <c r="M29" s="9"/>
      <c r="N29" s="9"/>
      <c r="O29" s="10"/>
    </row>
    <row r="30" spans="1:15" x14ac:dyDescent="0.2">
      <c r="B30" s="14" t="s">
        <v>21</v>
      </c>
      <c r="C30" s="38" t="s">
        <v>22</v>
      </c>
      <c r="D30" s="39"/>
      <c r="G30" s="8"/>
      <c r="H30" s="9"/>
      <c r="I30" s="9"/>
      <c r="J30" s="9"/>
      <c r="K30" s="9"/>
      <c r="L30" s="9"/>
      <c r="M30" s="9"/>
      <c r="N30" s="9"/>
      <c r="O30" s="10"/>
    </row>
    <row r="31" spans="1:15" x14ac:dyDescent="0.2">
      <c r="G31" s="8"/>
      <c r="H31" s="9"/>
      <c r="I31" s="9"/>
      <c r="J31" s="9"/>
      <c r="K31" s="9"/>
      <c r="L31" s="9"/>
      <c r="M31" s="9"/>
      <c r="N31" s="9"/>
      <c r="O31" s="10"/>
    </row>
    <row r="32" spans="1:15" x14ac:dyDescent="0.2">
      <c r="G32" s="8"/>
      <c r="H32" s="9"/>
      <c r="I32" s="9"/>
      <c r="J32" s="9"/>
      <c r="K32" s="9"/>
      <c r="L32" s="9"/>
      <c r="M32" s="9"/>
      <c r="N32" s="9"/>
      <c r="O32" s="10"/>
    </row>
    <row r="33" spans="2:15" x14ac:dyDescent="0.2">
      <c r="B33" s="40" t="s">
        <v>24</v>
      </c>
      <c r="C33" s="41"/>
      <c r="D33" s="42"/>
      <c r="G33" s="8"/>
      <c r="H33" s="9"/>
      <c r="I33" s="9"/>
      <c r="J33" s="9"/>
      <c r="K33" s="9"/>
      <c r="L33" s="9"/>
      <c r="M33" s="9"/>
      <c r="N33" s="9"/>
      <c r="O33" s="10"/>
    </row>
    <row r="34" spans="2:15" x14ac:dyDescent="0.2">
      <c r="B34" s="14" t="s">
        <v>25</v>
      </c>
      <c r="C34" s="34">
        <f>+C6/'Financial Model'!P71</f>
        <v>28.049442198868228</v>
      </c>
      <c r="D34" s="35"/>
      <c r="G34" s="8"/>
      <c r="H34" s="9"/>
      <c r="I34" s="9"/>
      <c r="J34" s="9"/>
      <c r="K34" s="9"/>
      <c r="L34" s="9"/>
      <c r="M34" s="9"/>
      <c r="N34" s="9"/>
      <c r="O34" s="10"/>
    </row>
    <row r="35" spans="2:15" x14ac:dyDescent="0.2">
      <c r="B35" s="14" t="s">
        <v>26</v>
      </c>
      <c r="C35" s="34">
        <f>+C8/SUM('Financial Model'!M7:P7)</f>
        <v>11.954232558139534</v>
      </c>
      <c r="D35" s="35"/>
      <c r="G35" s="8"/>
      <c r="H35" s="9"/>
      <c r="I35" s="9"/>
      <c r="J35" s="9"/>
      <c r="K35" s="9"/>
      <c r="L35" s="9"/>
      <c r="M35" s="9"/>
      <c r="N35" s="9"/>
      <c r="O35" s="10"/>
    </row>
    <row r="36" spans="2:15" x14ac:dyDescent="0.2">
      <c r="B36" s="14" t="s">
        <v>27</v>
      </c>
      <c r="C36" s="34">
        <f>+C6/SUM('Financial Model'!M22:P22)</f>
        <v>65.277899355462978</v>
      </c>
      <c r="D36" s="35"/>
      <c r="G36" s="8"/>
      <c r="H36" s="9"/>
      <c r="I36" s="9"/>
      <c r="J36" s="9"/>
      <c r="K36" s="9"/>
      <c r="L36" s="9"/>
      <c r="M36" s="9"/>
      <c r="N36" s="9"/>
      <c r="O36" s="10"/>
    </row>
    <row r="37" spans="2:15" x14ac:dyDescent="0.2">
      <c r="B37" s="14" t="s">
        <v>114</v>
      </c>
      <c r="C37" s="34">
        <f>+C6/'Financial Model'!P88</f>
        <v>61.41090265486725</v>
      </c>
      <c r="D37" s="35"/>
      <c r="G37" s="8"/>
      <c r="H37" s="9"/>
      <c r="I37" s="9"/>
      <c r="J37" s="9"/>
      <c r="K37" s="9"/>
      <c r="L37" s="9"/>
      <c r="M37" s="9"/>
      <c r="N37" s="9"/>
      <c r="O37" s="10"/>
    </row>
    <row r="38" spans="2:15" x14ac:dyDescent="0.2">
      <c r="B38" s="14" t="s">
        <v>28</v>
      </c>
      <c r="C38" s="36">
        <v>76</v>
      </c>
      <c r="D38" s="37"/>
      <c r="G38" s="8"/>
      <c r="H38" s="9"/>
      <c r="I38" s="9"/>
      <c r="J38" s="9"/>
      <c r="K38" s="9"/>
      <c r="L38" s="9"/>
      <c r="M38" s="9"/>
      <c r="N38" s="9"/>
      <c r="O38" s="10"/>
    </row>
    <row r="39" spans="2:15" x14ac:dyDescent="0.2">
      <c r="B39" s="14"/>
      <c r="C39" s="36"/>
      <c r="D39" s="37"/>
      <c r="G39" s="8"/>
      <c r="H39" s="9"/>
      <c r="I39" s="9"/>
      <c r="J39" s="9"/>
      <c r="K39" s="9"/>
      <c r="L39" s="9"/>
      <c r="M39" s="9"/>
      <c r="N39" s="9"/>
      <c r="O39" s="10"/>
    </row>
    <row r="40" spans="2:15" x14ac:dyDescent="0.2">
      <c r="G40" s="11"/>
      <c r="H40" s="12"/>
      <c r="I40" s="12"/>
      <c r="J40" s="12"/>
      <c r="K40" s="12"/>
      <c r="L40" s="12"/>
      <c r="M40" s="12"/>
      <c r="N40" s="12"/>
      <c r="O40" s="13"/>
    </row>
  </sheetData>
  <mergeCells count="22">
    <mergeCell ref="G5:O5"/>
    <mergeCell ref="B22:D22"/>
    <mergeCell ref="C23:D23"/>
    <mergeCell ref="C24:D24"/>
    <mergeCell ref="C25:D25"/>
    <mergeCell ref="B5:D5"/>
    <mergeCell ref="B15:D15"/>
    <mergeCell ref="C16:D16"/>
    <mergeCell ref="C17:D17"/>
    <mergeCell ref="C18:D18"/>
    <mergeCell ref="C19:D19"/>
    <mergeCell ref="C39:D39"/>
    <mergeCell ref="C26:D26"/>
    <mergeCell ref="C27:D27"/>
    <mergeCell ref="C28:D28"/>
    <mergeCell ref="C30:D30"/>
    <mergeCell ref="B33:D33"/>
    <mergeCell ref="C37:D37"/>
    <mergeCell ref="C34:D34"/>
    <mergeCell ref="C35:D35"/>
    <mergeCell ref="C36:D36"/>
    <mergeCell ref="C38:D38"/>
  </mergeCells>
  <hyperlinks>
    <hyperlink ref="C30:D30" r:id="rId1" display="Link" xr:uid="{136B0ED8-5FD6-4628-BBD0-474E201794E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F6E9D-1442-4F5B-A570-7043CF769B1D}">
  <dimension ref="B1:AD89"/>
  <sheetViews>
    <sheetView tabSelected="1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G85" sqref="G85"/>
    </sheetView>
  </sheetViews>
  <sheetFormatPr defaultRowHeight="12.75" x14ac:dyDescent="0.2"/>
  <cols>
    <col min="1" max="1" width="4.28515625" style="2" customWidth="1"/>
    <col min="2" max="2" width="31.85546875" style="2" bestFit="1" customWidth="1"/>
    <col min="3" max="15" width="9.140625" style="2"/>
    <col min="16" max="16" width="9.42578125" style="2" bestFit="1" customWidth="1"/>
    <col min="17" max="16384" width="9.140625" style="2"/>
  </cols>
  <sheetData>
    <row r="1" spans="2:30" s="19" customFormat="1" x14ac:dyDescent="0.2">
      <c r="C1" s="19" t="s">
        <v>124</v>
      </c>
      <c r="D1" s="19" t="s">
        <v>125</v>
      </c>
      <c r="E1" s="19" t="s">
        <v>126</v>
      </c>
      <c r="F1" s="19" t="s">
        <v>127</v>
      </c>
      <c r="G1" s="22" t="s">
        <v>35</v>
      </c>
      <c r="H1" s="22" t="s">
        <v>34</v>
      </c>
      <c r="I1" s="22" t="s">
        <v>33</v>
      </c>
      <c r="J1" s="19" t="s">
        <v>32</v>
      </c>
      <c r="K1" s="19" t="s">
        <v>31</v>
      </c>
      <c r="L1" s="19" t="s">
        <v>30</v>
      </c>
      <c r="M1" s="22" t="s">
        <v>102</v>
      </c>
      <c r="N1" s="22" t="s">
        <v>101</v>
      </c>
      <c r="O1" s="22" t="s">
        <v>99</v>
      </c>
      <c r="P1" s="22" t="s">
        <v>100</v>
      </c>
      <c r="Q1" s="19" t="s">
        <v>128</v>
      </c>
      <c r="U1" s="19" t="s">
        <v>103</v>
      </c>
      <c r="V1" s="19" t="s">
        <v>104</v>
      </c>
      <c r="W1" s="19" t="s">
        <v>105</v>
      </c>
      <c r="X1" s="19" t="s">
        <v>106</v>
      </c>
      <c r="Y1" s="19" t="s">
        <v>107</v>
      </c>
      <c r="Z1" s="19" t="s">
        <v>108</v>
      </c>
      <c r="AA1" s="19" t="s">
        <v>109</v>
      </c>
      <c r="AB1" s="19" t="s">
        <v>110</v>
      </c>
      <c r="AC1" s="19" t="s">
        <v>111</v>
      </c>
      <c r="AD1" s="19" t="s">
        <v>112</v>
      </c>
    </row>
    <row r="2" spans="2:30" s="20" customFormat="1" x14ac:dyDescent="0.2">
      <c r="B2" s="18"/>
      <c r="C2" s="23">
        <v>44316</v>
      </c>
      <c r="D2" s="23">
        <v>44408</v>
      </c>
      <c r="E2" s="23">
        <v>44865</v>
      </c>
      <c r="G2" s="23">
        <v>44681</v>
      </c>
      <c r="H2" s="23">
        <v>44773</v>
      </c>
      <c r="I2" s="23">
        <v>44865</v>
      </c>
      <c r="J2" s="23">
        <v>44926</v>
      </c>
      <c r="K2" s="23">
        <v>45046</v>
      </c>
      <c r="L2" s="23">
        <v>45138</v>
      </c>
      <c r="M2" s="23">
        <v>45230</v>
      </c>
      <c r="N2" s="23">
        <v>45291</v>
      </c>
      <c r="O2" s="23">
        <v>45412</v>
      </c>
      <c r="P2" s="23">
        <v>45504</v>
      </c>
      <c r="Y2" s="23">
        <v>44592</v>
      </c>
      <c r="Z2" s="23">
        <v>44957</v>
      </c>
      <c r="AA2" s="23">
        <v>45322</v>
      </c>
    </row>
    <row r="3" spans="2:30" s="20" customFormat="1" x14ac:dyDescent="0.2">
      <c r="B3" s="18"/>
      <c r="I3" s="21">
        <v>45252</v>
      </c>
      <c r="M3" s="21">
        <v>45264</v>
      </c>
      <c r="N3" s="21">
        <v>45351</v>
      </c>
      <c r="O3" s="21">
        <v>45453</v>
      </c>
      <c r="P3" s="21">
        <v>45538</v>
      </c>
      <c r="AA3" s="21">
        <f>+N3</f>
        <v>45351</v>
      </c>
    </row>
    <row r="4" spans="2:30" s="25" customFormat="1" x14ac:dyDescent="0.2">
      <c r="B4" s="24" t="s">
        <v>36</v>
      </c>
      <c r="C4" s="25">
        <v>927</v>
      </c>
      <c r="D4" s="25">
        <v>997</v>
      </c>
      <c r="E4" s="25">
        <v>1043</v>
      </c>
      <c r="F4" s="25">
        <f>+Y4-SUM(C4:E4)</f>
        <v>1093</v>
      </c>
      <c r="G4" s="25">
        <v>1089</v>
      </c>
      <c r="H4" s="25">
        <v>1160</v>
      </c>
      <c r="I4" s="25">
        <v>1188</v>
      </c>
      <c r="J4" s="25">
        <f>+Z4-SUM(G4:I4)</f>
        <v>1214</v>
      </c>
      <c r="K4" s="25">
        <v>1193</v>
      </c>
      <c r="L4" s="25">
        <v>1270</v>
      </c>
      <c r="M4" s="25">
        <v>1314</v>
      </c>
      <c r="N4" s="25">
        <f>+AA4-SUM(K4:M4)</f>
        <v>1339</v>
      </c>
      <c r="O4" s="25">
        <v>1330</v>
      </c>
      <c r="P4" s="25">
        <v>1408</v>
      </c>
      <c r="Y4" s="25">
        <v>4060</v>
      </c>
      <c r="Z4" s="25">
        <v>4651</v>
      </c>
      <c r="AA4" s="25">
        <v>5116</v>
      </c>
    </row>
    <row r="5" spans="2:30" s="25" customFormat="1" x14ac:dyDescent="0.2">
      <c r="B5" s="24" t="s">
        <v>37</v>
      </c>
      <c r="C5" s="25">
        <v>19</v>
      </c>
      <c r="D5" s="25">
        <v>17</v>
      </c>
      <c r="E5" s="25">
        <v>18</v>
      </c>
      <c r="F5" s="25">
        <f>+Y5-SUM(C5:E5)</f>
        <v>22</v>
      </c>
      <c r="G5" s="25">
        <v>18</v>
      </c>
      <c r="H5" s="25">
        <v>17</v>
      </c>
      <c r="I5" s="25">
        <v>16</v>
      </c>
      <c r="J5" s="25">
        <f>+Z5-SUM(G5:I5)</f>
        <v>14</v>
      </c>
      <c r="K5" s="25">
        <v>14</v>
      </c>
      <c r="L5" s="25">
        <v>14</v>
      </c>
      <c r="M5" s="25">
        <v>12</v>
      </c>
      <c r="N5" s="25">
        <f>+AA5-SUM(K5:M5)</f>
        <v>14</v>
      </c>
      <c r="O5" s="25">
        <v>11</v>
      </c>
      <c r="P5" s="25">
        <v>11</v>
      </c>
      <c r="Y5" s="25">
        <v>76</v>
      </c>
      <c r="Z5" s="25">
        <v>65</v>
      </c>
      <c r="AA5" s="25">
        <v>54</v>
      </c>
    </row>
    <row r="6" spans="2:30" s="25" customFormat="1" x14ac:dyDescent="0.2">
      <c r="B6" s="24" t="s">
        <v>39</v>
      </c>
      <c r="C6" s="25">
        <v>43</v>
      </c>
      <c r="D6" s="25">
        <v>46</v>
      </c>
      <c r="E6" s="25">
        <v>65</v>
      </c>
      <c r="F6" s="25">
        <f>+Y6-SUM(C6:E6)</f>
        <v>96</v>
      </c>
      <c r="G6" s="25">
        <v>63</v>
      </c>
      <c r="H6" s="25">
        <v>60</v>
      </c>
      <c r="I6" s="25">
        <v>76</v>
      </c>
      <c r="J6" s="25">
        <f>+Z6-SUM(G6:I6)</f>
        <v>90</v>
      </c>
      <c r="K6" s="25">
        <v>62</v>
      </c>
      <c r="L6" s="25">
        <v>61</v>
      </c>
      <c r="M6" s="25">
        <v>88</v>
      </c>
      <c r="N6" s="25">
        <f>+AA6-SUM(K6:M6)</f>
        <v>116</v>
      </c>
      <c r="O6" s="25">
        <v>76</v>
      </c>
      <c r="P6" s="25">
        <v>86</v>
      </c>
      <c r="Y6" s="25">
        <v>250</v>
      </c>
      <c r="Z6" s="25">
        <v>289</v>
      </c>
      <c r="AA6" s="25">
        <v>327</v>
      </c>
    </row>
    <row r="7" spans="2:30" s="26" customFormat="1" x14ac:dyDescent="0.2">
      <c r="B7" s="26" t="s">
        <v>38</v>
      </c>
      <c r="C7" s="26">
        <f t="shared" ref="C7" si="0">+SUM(C4:C6)</f>
        <v>989</v>
      </c>
      <c r="D7" s="26">
        <f t="shared" ref="D7" si="1">+SUM(D4:D6)</f>
        <v>1060</v>
      </c>
      <c r="E7" s="26">
        <f t="shared" ref="E7:F7" si="2">+SUM(E4:E6)</f>
        <v>1126</v>
      </c>
      <c r="F7" s="26">
        <f t="shared" si="2"/>
        <v>1211</v>
      </c>
      <c r="G7" s="26">
        <f t="shared" ref="G7:J7" si="3">+SUM(G4:G6)</f>
        <v>1170</v>
      </c>
      <c r="H7" s="26">
        <f t="shared" si="3"/>
        <v>1237</v>
      </c>
      <c r="I7" s="26">
        <f t="shared" si="3"/>
        <v>1280</v>
      </c>
      <c r="J7" s="26">
        <f t="shared" si="3"/>
        <v>1318</v>
      </c>
      <c r="K7" s="26">
        <f>+SUM(K4:K6)</f>
        <v>1269</v>
      </c>
      <c r="L7" s="26">
        <f>+SUM(L4:L6)</f>
        <v>1345</v>
      </c>
      <c r="M7" s="26">
        <f>+SUM(M4:M6)</f>
        <v>1414</v>
      </c>
      <c r="N7" s="26">
        <f t="shared" ref="N7" si="4">+SUM(N4:N6)</f>
        <v>1469</v>
      </c>
      <c r="O7" s="26">
        <f>+SUM(O4:O6)</f>
        <v>1417</v>
      </c>
      <c r="P7" s="26">
        <f>+SUM(P4:P6)</f>
        <v>1505</v>
      </c>
      <c r="Y7" s="26">
        <f t="shared" ref="Y7:AA7" si="5">+SUM(Y4:Y6)</f>
        <v>4386</v>
      </c>
      <c r="Z7" s="26">
        <f t="shared" si="5"/>
        <v>5005</v>
      </c>
      <c r="AA7" s="26">
        <f t="shared" si="5"/>
        <v>5497</v>
      </c>
    </row>
    <row r="8" spans="2:30" s="25" customFormat="1" x14ac:dyDescent="0.2">
      <c r="B8" s="24" t="s">
        <v>40</v>
      </c>
      <c r="C8" s="25">
        <v>68</v>
      </c>
      <c r="D8" s="25">
        <v>76</v>
      </c>
      <c r="E8" s="25">
        <v>75</v>
      </c>
      <c r="F8" s="25">
        <f>+Y8-SUM(C8:E8)</f>
        <v>80</v>
      </c>
      <c r="G8" s="25">
        <v>84</v>
      </c>
      <c r="H8" s="25">
        <v>83</v>
      </c>
      <c r="I8" s="25">
        <v>86</v>
      </c>
      <c r="J8" s="25">
        <f>+Z8-SUM(G8:I8)</f>
        <v>90</v>
      </c>
      <c r="K8" s="25">
        <v>96</v>
      </c>
      <c r="L8" s="25">
        <v>95</v>
      </c>
      <c r="M8" s="25">
        <v>94</v>
      </c>
      <c r="N8" s="25">
        <f>+AA8-SUM(K8:M8)</f>
        <v>96</v>
      </c>
      <c r="O8" s="25">
        <v>100</v>
      </c>
      <c r="P8" s="25">
        <v>100</v>
      </c>
      <c r="Y8" s="25">
        <v>299</v>
      </c>
      <c r="Z8" s="25">
        <v>343</v>
      </c>
      <c r="AA8" s="25">
        <v>381</v>
      </c>
    </row>
    <row r="9" spans="2:30" s="25" customFormat="1" x14ac:dyDescent="0.2">
      <c r="B9" s="24" t="s">
        <v>41</v>
      </c>
      <c r="C9" s="25">
        <v>14</v>
      </c>
      <c r="D9" s="25">
        <v>16</v>
      </c>
      <c r="E9" s="25">
        <v>18</v>
      </c>
      <c r="F9" s="25">
        <f>+Y9-SUM(C9:E9)</f>
        <v>19</v>
      </c>
      <c r="G9" s="25">
        <v>19</v>
      </c>
      <c r="H9" s="25">
        <v>21</v>
      </c>
      <c r="I9" s="25">
        <v>19</v>
      </c>
      <c r="J9" s="25">
        <f>+Z9-SUM(G9:I9)</f>
        <v>20</v>
      </c>
      <c r="K9" s="25">
        <v>20</v>
      </c>
      <c r="L9" s="25">
        <v>21</v>
      </c>
      <c r="M9" s="25">
        <v>21</v>
      </c>
      <c r="N9" s="25">
        <f>+AA9-SUM(K9:M9)</f>
        <v>20</v>
      </c>
      <c r="O9" s="25">
        <v>20</v>
      </c>
      <c r="P9" s="25">
        <v>18</v>
      </c>
      <c r="Y9" s="25">
        <v>67</v>
      </c>
      <c r="Z9" s="25">
        <v>79</v>
      </c>
      <c r="AA9" s="25">
        <v>82</v>
      </c>
    </row>
    <row r="10" spans="2:30" s="25" customFormat="1" x14ac:dyDescent="0.2">
      <c r="B10" s="24" t="s">
        <v>43</v>
      </c>
      <c r="C10" s="25">
        <v>10</v>
      </c>
      <c r="D10" s="25">
        <v>14</v>
      </c>
      <c r="E10" s="25">
        <v>15</v>
      </c>
      <c r="F10" s="25">
        <f>+Y10-SUM(C10:E10)</f>
        <v>13</v>
      </c>
      <c r="G10" s="25">
        <v>14</v>
      </c>
      <c r="H10" s="25">
        <v>15</v>
      </c>
      <c r="I10" s="25">
        <v>15</v>
      </c>
      <c r="J10" s="25">
        <f>+Z10-SUM(G10:I10)</f>
        <v>14</v>
      </c>
      <c r="K10" s="25">
        <v>11</v>
      </c>
      <c r="L10" s="25">
        <v>11</v>
      </c>
      <c r="M10" s="25">
        <v>12</v>
      </c>
      <c r="N10" s="25">
        <f>+AA10-SUM(K10:M10)</f>
        <v>14</v>
      </c>
      <c r="O10" s="25">
        <v>17</v>
      </c>
      <c r="P10" s="25">
        <v>22</v>
      </c>
      <c r="Y10" s="25">
        <v>52</v>
      </c>
      <c r="Z10" s="25">
        <v>58</v>
      </c>
      <c r="AA10" s="25">
        <v>48</v>
      </c>
    </row>
    <row r="11" spans="2:30" s="25" customFormat="1" x14ac:dyDescent="0.2">
      <c r="B11" s="25" t="s">
        <v>42</v>
      </c>
      <c r="C11" s="25">
        <f t="shared" ref="C11" si="6">SUM(C8:C10)</f>
        <v>92</v>
      </c>
      <c r="D11" s="25">
        <f t="shared" ref="D11" si="7">SUM(D8:D10)</f>
        <v>106</v>
      </c>
      <c r="E11" s="25">
        <f t="shared" ref="E11:F11" si="8">SUM(E8:E10)</f>
        <v>108</v>
      </c>
      <c r="F11" s="25">
        <f t="shared" si="8"/>
        <v>112</v>
      </c>
      <c r="G11" s="25">
        <f t="shared" ref="G11:J11" si="9">SUM(G8:G10)</f>
        <v>117</v>
      </c>
      <c r="H11" s="25">
        <f t="shared" si="9"/>
        <v>119</v>
      </c>
      <c r="I11" s="25">
        <f t="shared" si="9"/>
        <v>120</v>
      </c>
      <c r="J11" s="25">
        <f t="shared" si="9"/>
        <v>124</v>
      </c>
      <c r="K11" s="25">
        <f>SUM(K8:K10)</f>
        <v>127</v>
      </c>
      <c r="L11" s="25">
        <f>SUM(L8:L10)</f>
        <v>127</v>
      </c>
      <c r="M11" s="25">
        <f>SUM(M8:M10)</f>
        <v>127</v>
      </c>
      <c r="N11" s="25">
        <f t="shared" ref="N11" si="10">SUM(N8:N10)</f>
        <v>130</v>
      </c>
      <c r="O11" s="25">
        <f>SUM(O8:O10)</f>
        <v>137</v>
      </c>
      <c r="P11" s="25">
        <f>SUM(P8:P10)</f>
        <v>140</v>
      </c>
      <c r="Y11" s="25">
        <f t="shared" ref="Y11:AA11" si="11">SUM(Y8:Y10)</f>
        <v>418</v>
      </c>
      <c r="Z11" s="25">
        <f t="shared" si="11"/>
        <v>480</v>
      </c>
      <c r="AA11" s="25">
        <f t="shared" si="11"/>
        <v>511</v>
      </c>
    </row>
    <row r="12" spans="2:30" s="26" customFormat="1" x14ac:dyDescent="0.2">
      <c r="B12" s="26" t="s">
        <v>44</v>
      </c>
      <c r="C12" s="26">
        <f t="shared" ref="C12" si="12">+C7-C11</f>
        <v>897</v>
      </c>
      <c r="D12" s="26">
        <f t="shared" ref="D12" si="13">+D7-D11</f>
        <v>954</v>
      </c>
      <c r="E12" s="26">
        <f t="shared" ref="E12:F12" si="14">+E7-E11</f>
        <v>1018</v>
      </c>
      <c r="F12" s="26">
        <f t="shared" si="14"/>
        <v>1099</v>
      </c>
      <c r="G12" s="26">
        <f t="shared" ref="G12:J12" si="15">+G7-G11</f>
        <v>1053</v>
      </c>
      <c r="H12" s="26">
        <f t="shared" si="15"/>
        <v>1118</v>
      </c>
      <c r="I12" s="26">
        <f t="shared" si="15"/>
        <v>1160</v>
      </c>
      <c r="J12" s="26">
        <f t="shared" si="15"/>
        <v>1194</v>
      </c>
      <c r="K12" s="26">
        <f>+K7-K11</f>
        <v>1142</v>
      </c>
      <c r="L12" s="26">
        <f>+L7-L11</f>
        <v>1218</v>
      </c>
      <c r="M12" s="26">
        <f>+M7-M11</f>
        <v>1287</v>
      </c>
      <c r="N12" s="26">
        <f t="shared" ref="N12" si="16">+N7-N11</f>
        <v>1339</v>
      </c>
      <c r="O12" s="26">
        <f>+O7-O11</f>
        <v>1280</v>
      </c>
      <c r="P12" s="26">
        <f>+P7-P11</f>
        <v>1365</v>
      </c>
      <c r="Y12" s="26">
        <f t="shared" ref="Y12:AA12" si="17">+Y7-Y11</f>
        <v>3968</v>
      </c>
      <c r="Z12" s="26">
        <f t="shared" si="17"/>
        <v>4525</v>
      </c>
      <c r="AA12" s="26">
        <f t="shared" si="17"/>
        <v>4986</v>
      </c>
    </row>
    <row r="13" spans="2:30" x14ac:dyDescent="0.2">
      <c r="B13" s="2" t="s">
        <v>45</v>
      </c>
      <c r="C13" s="2">
        <v>377</v>
      </c>
      <c r="D13" s="2">
        <v>399</v>
      </c>
      <c r="E13" s="2">
        <v>419</v>
      </c>
      <c r="F13" s="25">
        <f>+Y13-SUM(C13:E13)</f>
        <v>428</v>
      </c>
      <c r="G13" s="2">
        <v>419</v>
      </c>
      <c r="H13" s="2">
        <v>433</v>
      </c>
      <c r="I13" s="2">
        <v>454</v>
      </c>
      <c r="J13" s="25">
        <f>+Z13-SUM(G13:I13)</f>
        <v>439</v>
      </c>
      <c r="K13" s="2">
        <v>456</v>
      </c>
      <c r="L13" s="2">
        <v>449</v>
      </c>
      <c r="M13" s="2">
        <v>439</v>
      </c>
      <c r="N13" s="25">
        <f>+AA13-SUM(K13:M13)</f>
        <v>479</v>
      </c>
      <c r="O13" s="2">
        <v>469</v>
      </c>
      <c r="P13" s="2">
        <v>480</v>
      </c>
      <c r="Y13" s="2">
        <v>1623</v>
      </c>
      <c r="Z13" s="2">
        <v>1745</v>
      </c>
      <c r="AA13" s="2">
        <v>1823</v>
      </c>
    </row>
    <row r="14" spans="2:30" x14ac:dyDescent="0.2">
      <c r="B14" s="2" t="s">
        <v>46</v>
      </c>
      <c r="C14" s="2">
        <v>266</v>
      </c>
      <c r="D14" s="2">
        <v>277</v>
      </c>
      <c r="E14" s="2">
        <v>282</v>
      </c>
      <c r="F14" s="25">
        <f>+Y14-SUM(C14:E14)</f>
        <v>290</v>
      </c>
      <c r="G14" s="2">
        <v>289</v>
      </c>
      <c r="H14" s="2">
        <v>306</v>
      </c>
      <c r="I14" s="2">
        <v>311</v>
      </c>
      <c r="J14" s="25">
        <f>+Z14-SUM(G14:I14)</f>
        <v>313</v>
      </c>
      <c r="K14" s="2">
        <v>327</v>
      </c>
      <c r="L14" s="2">
        <v>355</v>
      </c>
      <c r="M14" s="2">
        <v>339</v>
      </c>
      <c r="N14" s="25">
        <f>+AA14-SUM(K14:M14)</f>
        <v>352</v>
      </c>
      <c r="O14" s="2">
        <v>346</v>
      </c>
      <c r="P14" s="2">
        <v>368</v>
      </c>
      <c r="Y14" s="2">
        <v>1115</v>
      </c>
      <c r="Z14" s="2">
        <v>1219</v>
      </c>
      <c r="AA14" s="2">
        <v>1373</v>
      </c>
    </row>
    <row r="15" spans="2:30" x14ac:dyDescent="0.2">
      <c r="B15" s="2" t="s">
        <v>47</v>
      </c>
      <c r="C15" s="2">
        <v>112</v>
      </c>
      <c r="D15" s="2">
        <v>119</v>
      </c>
      <c r="E15" s="2">
        <v>113</v>
      </c>
      <c r="F15" s="25">
        <f>+Y15-SUM(C15:E15)</f>
        <v>228</v>
      </c>
      <c r="G15" s="2">
        <v>120</v>
      </c>
      <c r="H15" s="2">
        <v>128</v>
      </c>
      <c r="I15" s="2">
        <v>129</v>
      </c>
      <c r="J15" s="25">
        <f>+Z15-SUM(G15:I15)</f>
        <v>155</v>
      </c>
      <c r="K15" s="2">
        <v>132</v>
      </c>
      <c r="L15" s="2">
        <v>141</v>
      </c>
      <c r="M15" s="2">
        <v>165</v>
      </c>
      <c r="N15" s="25">
        <f>+AA15-SUM(K15:M15)</f>
        <v>182</v>
      </c>
      <c r="O15" s="2">
        <v>155</v>
      </c>
      <c r="P15" s="2">
        <v>161</v>
      </c>
      <c r="Y15" s="2">
        <v>572</v>
      </c>
      <c r="Z15" s="2">
        <v>532</v>
      </c>
      <c r="AA15" s="2">
        <v>620</v>
      </c>
    </row>
    <row r="16" spans="2:30" x14ac:dyDescent="0.2">
      <c r="B16" s="2" t="s">
        <v>48</v>
      </c>
      <c r="C16" s="2">
        <v>8</v>
      </c>
      <c r="D16" s="2">
        <v>11</v>
      </c>
      <c r="E16" s="2">
        <v>11</v>
      </c>
      <c r="F16" s="25">
        <f>+Y16-SUM(C16:E16)</f>
        <v>10</v>
      </c>
      <c r="G16" s="2">
        <v>11</v>
      </c>
      <c r="H16" s="2">
        <v>9</v>
      </c>
      <c r="I16" s="2">
        <v>10</v>
      </c>
      <c r="J16" s="25">
        <f>+Z16-SUM(G16:I16)</f>
        <v>10</v>
      </c>
      <c r="K16" s="2">
        <v>10</v>
      </c>
      <c r="L16" s="2">
        <v>11</v>
      </c>
      <c r="M16" s="2">
        <v>10</v>
      </c>
      <c r="N16" s="25">
        <f>+AA16-SUM(K16:M16)</f>
        <v>11</v>
      </c>
      <c r="O16" s="2">
        <v>11</v>
      </c>
      <c r="P16" s="2">
        <v>13</v>
      </c>
      <c r="Y16" s="2">
        <v>40</v>
      </c>
      <c r="Z16" s="2">
        <v>40</v>
      </c>
      <c r="AA16" s="2">
        <v>42</v>
      </c>
    </row>
    <row r="17" spans="2:27" s="1" customFormat="1" x14ac:dyDescent="0.2">
      <c r="B17" s="1" t="s">
        <v>49</v>
      </c>
      <c r="C17" s="26">
        <f t="shared" ref="C17" si="18">+C12-SUM(C13:C16)</f>
        <v>134</v>
      </c>
      <c r="D17" s="26">
        <f t="shared" ref="D17" si="19">+D12-SUM(D13:D16)</f>
        <v>148</v>
      </c>
      <c r="E17" s="26">
        <f t="shared" ref="E17:F17" si="20">+E12-SUM(E13:E16)</f>
        <v>193</v>
      </c>
      <c r="F17" s="26">
        <f t="shared" si="20"/>
        <v>143</v>
      </c>
      <c r="G17" s="26">
        <f t="shared" ref="G17:J17" si="21">+G12-SUM(G13:G16)</f>
        <v>214</v>
      </c>
      <c r="H17" s="26">
        <f t="shared" si="21"/>
        <v>242</v>
      </c>
      <c r="I17" s="26">
        <f t="shared" si="21"/>
        <v>256</v>
      </c>
      <c r="J17" s="26">
        <f t="shared" si="21"/>
        <v>277</v>
      </c>
      <c r="K17" s="26">
        <f>+K12-SUM(K13:K16)</f>
        <v>217</v>
      </c>
      <c r="L17" s="26">
        <f>+L12-SUM(L13:L16)</f>
        <v>262</v>
      </c>
      <c r="M17" s="26">
        <f>+M12-SUM(M13:M16)</f>
        <v>334</v>
      </c>
      <c r="N17" s="26">
        <f t="shared" ref="N17" si="22">+N12-SUM(N13:N16)</f>
        <v>315</v>
      </c>
      <c r="O17" s="26">
        <f>+O12-SUM(O13:O16)</f>
        <v>299</v>
      </c>
      <c r="P17" s="26">
        <f>+P12-SUM(P13:P16)</f>
        <v>343</v>
      </c>
      <c r="Y17" s="26">
        <f t="shared" ref="Y17:AA17" si="23">+Y12-SUM(Y13:Y16)</f>
        <v>618</v>
      </c>
      <c r="Z17" s="26">
        <f t="shared" si="23"/>
        <v>989</v>
      </c>
      <c r="AA17" s="26">
        <f t="shared" si="23"/>
        <v>1128</v>
      </c>
    </row>
    <row r="18" spans="2:27" x14ac:dyDescent="0.2">
      <c r="B18" s="2" t="s">
        <v>50</v>
      </c>
      <c r="C18" s="2">
        <v>-3</v>
      </c>
      <c r="D18" s="2">
        <v>-9</v>
      </c>
      <c r="E18" s="2">
        <v>-5</v>
      </c>
      <c r="F18" s="25">
        <f>+Y18-SUM(C18:E18)</f>
        <v>-36</v>
      </c>
      <c r="G18" s="2">
        <v>-19</v>
      </c>
      <c r="H18" s="2">
        <v>-10</v>
      </c>
      <c r="I18" s="2">
        <v>-14</v>
      </c>
      <c r="J18" s="25">
        <f>+Z18-SUM(G18:I18)</f>
        <v>0</v>
      </c>
      <c r="K18" s="2">
        <v>4</v>
      </c>
      <c r="L18" s="2">
        <v>-4</v>
      </c>
      <c r="M18" s="2">
        <v>-14</v>
      </c>
      <c r="N18" s="25">
        <f>+AA18-SUM(K18:M18)</f>
        <v>22</v>
      </c>
      <c r="O18" s="2">
        <v>10</v>
      </c>
      <c r="P18" s="2">
        <v>9</v>
      </c>
      <c r="Y18" s="2">
        <v>-53</v>
      </c>
      <c r="Z18" s="2">
        <v>-43</v>
      </c>
      <c r="AA18" s="2">
        <v>8</v>
      </c>
    </row>
    <row r="19" spans="2:27" x14ac:dyDescent="0.2">
      <c r="B19" s="2" t="s">
        <v>51</v>
      </c>
      <c r="C19" s="25">
        <f t="shared" ref="C19" si="24">+C17+C18</f>
        <v>131</v>
      </c>
      <c r="D19" s="25">
        <f t="shared" ref="D19" si="25">+D17+D18</f>
        <v>139</v>
      </c>
      <c r="E19" s="25">
        <f t="shared" ref="E19:F19" si="26">+E17+E18</f>
        <v>188</v>
      </c>
      <c r="F19" s="25">
        <f t="shared" si="26"/>
        <v>107</v>
      </c>
      <c r="G19" s="25">
        <f t="shared" ref="G19:J19" si="27">+G17+G18</f>
        <v>195</v>
      </c>
      <c r="H19" s="25">
        <f t="shared" si="27"/>
        <v>232</v>
      </c>
      <c r="I19" s="25">
        <f t="shared" si="27"/>
        <v>242</v>
      </c>
      <c r="J19" s="25">
        <f t="shared" si="27"/>
        <v>277</v>
      </c>
      <c r="K19" s="25">
        <f>+K17+K18</f>
        <v>221</v>
      </c>
      <c r="L19" s="25">
        <f>+L17+L18</f>
        <v>258</v>
      </c>
      <c r="M19" s="25">
        <f>+M17+M18</f>
        <v>320</v>
      </c>
      <c r="N19" s="25">
        <f t="shared" ref="N19" si="28">+N17+N18</f>
        <v>337</v>
      </c>
      <c r="O19" s="25">
        <f>+O17+O18</f>
        <v>309</v>
      </c>
      <c r="P19" s="25">
        <f>+P17+P18</f>
        <v>352</v>
      </c>
      <c r="Y19" s="25">
        <f t="shared" ref="Y19:AA19" si="29">+Y17+Y18</f>
        <v>565</v>
      </c>
      <c r="Z19" s="25">
        <f t="shared" si="29"/>
        <v>946</v>
      </c>
      <c r="AA19" s="25">
        <f t="shared" si="29"/>
        <v>1136</v>
      </c>
    </row>
    <row r="20" spans="2:27" x14ac:dyDescent="0.2">
      <c r="B20" s="2" t="s">
        <v>52</v>
      </c>
      <c r="C20" s="2">
        <v>-25</v>
      </c>
      <c r="D20" s="2">
        <v>24</v>
      </c>
      <c r="E20" s="2">
        <v>51</v>
      </c>
      <c r="F20" s="25">
        <f>+Y20-SUM(C20:E20)</f>
        <v>18</v>
      </c>
      <c r="G20" s="2">
        <v>49</v>
      </c>
      <c r="H20" s="2">
        <v>46</v>
      </c>
      <c r="I20" s="2">
        <v>44</v>
      </c>
      <c r="J20" s="25">
        <f>+Z20-SUM(G20:I20)</f>
        <v>-16</v>
      </c>
      <c r="K20" s="2">
        <v>60</v>
      </c>
      <c r="L20" s="2">
        <v>36</v>
      </c>
      <c r="M20" s="2">
        <v>79</v>
      </c>
      <c r="N20" s="25">
        <f>+AA20-SUM(K20:M20)</f>
        <v>55</v>
      </c>
      <c r="O20" s="2">
        <v>57</v>
      </c>
      <c r="P20" s="2">
        <v>70</v>
      </c>
      <c r="Y20" s="2">
        <v>68</v>
      </c>
      <c r="Z20" s="2">
        <v>123</v>
      </c>
      <c r="AA20" s="2">
        <v>230</v>
      </c>
    </row>
    <row r="21" spans="2:27" s="1" customFormat="1" x14ac:dyDescent="0.2">
      <c r="B21" s="1" t="s">
        <v>53</v>
      </c>
      <c r="C21" s="26">
        <f t="shared" ref="C21" si="30">+C19-C20</f>
        <v>156</v>
      </c>
      <c r="D21" s="26">
        <f t="shared" ref="D21" si="31">+D19-D20</f>
        <v>115</v>
      </c>
      <c r="E21" s="26">
        <f t="shared" ref="E21:G21" si="32">+E19-E20</f>
        <v>137</v>
      </c>
      <c r="F21" s="26">
        <f t="shared" si="32"/>
        <v>89</v>
      </c>
      <c r="G21" s="26">
        <f t="shared" ref="G21:J21" si="33">+G19-G20</f>
        <v>146</v>
      </c>
      <c r="H21" s="26">
        <f t="shared" si="33"/>
        <v>186</v>
      </c>
      <c r="I21" s="26">
        <f t="shared" si="33"/>
        <v>198</v>
      </c>
      <c r="J21" s="26">
        <f t="shared" si="33"/>
        <v>293</v>
      </c>
      <c r="K21" s="26">
        <f>+K19-K20</f>
        <v>161</v>
      </c>
      <c r="L21" s="26">
        <f>+L19-L20</f>
        <v>222</v>
      </c>
      <c r="M21" s="26">
        <f>+M19-M20</f>
        <v>241</v>
      </c>
      <c r="N21" s="26">
        <f t="shared" ref="N21" si="34">+N19-N20</f>
        <v>282</v>
      </c>
      <c r="O21" s="26">
        <f>+O19-O20</f>
        <v>252</v>
      </c>
      <c r="P21" s="26">
        <f>+P19-P20</f>
        <v>282</v>
      </c>
      <c r="Y21" s="26">
        <f t="shared" ref="Y21:AA21" si="35">+Y19-Y20</f>
        <v>497</v>
      </c>
      <c r="Z21" s="26">
        <f t="shared" si="35"/>
        <v>823</v>
      </c>
      <c r="AA21" s="26">
        <f t="shared" si="35"/>
        <v>906</v>
      </c>
    </row>
    <row r="22" spans="2:27" s="27" customFormat="1" x14ac:dyDescent="0.2">
      <c r="B22" s="27" t="s">
        <v>54</v>
      </c>
      <c r="C22" s="27">
        <f>+C21/C23</f>
        <v>0.70270270270270274</v>
      </c>
      <c r="D22" s="27">
        <f>+D21/D23</f>
        <v>0.52272727272727271</v>
      </c>
      <c r="E22" s="27">
        <f>+E21/E23</f>
        <v>0.62272727272727268</v>
      </c>
      <c r="F22" s="27">
        <f>+F21/F23</f>
        <v>0.40454545454545454</v>
      </c>
      <c r="G22" s="27">
        <f>+G21/G23</f>
        <v>0.67281105990783407</v>
      </c>
      <c r="H22" s="27">
        <f>+H21/H23</f>
        <v>0.8571428571428571</v>
      </c>
      <c r="I22" s="27">
        <f>+I21/I23</f>
        <v>0.9124423963133641</v>
      </c>
      <c r="J22" s="27">
        <f>+J21/J23</f>
        <v>1.3564814814814814</v>
      </c>
      <c r="K22" s="27">
        <f t="shared" ref="K22:P22" si="36">+K21/K23</f>
        <v>0.74883720930232556</v>
      </c>
      <c r="L22" s="27">
        <f t="shared" si="36"/>
        <v>1.0373831775700935</v>
      </c>
      <c r="M22" s="27">
        <f t="shared" si="36"/>
        <v>1.1261682242990654</v>
      </c>
      <c r="N22" s="27">
        <f t="shared" si="36"/>
        <v>1.3177570093457944</v>
      </c>
      <c r="O22" s="27">
        <f t="shared" si="36"/>
        <v>1.172093023255814</v>
      </c>
      <c r="P22" s="27">
        <f t="shared" si="36"/>
        <v>1.3055555555555556</v>
      </c>
      <c r="Y22" s="27">
        <f>+Y21/Y23</f>
        <v>2.2590909090909093</v>
      </c>
      <c r="Z22" s="27">
        <f>+Z21/Z23</f>
        <v>3.8101851851851851</v>
      </c>
      <c r="AA22" s="27">
        <f>+AA21/AA23</f>
        <v>4.2336448598130838</v>
      </c>
    </row>
    <row r="23" spans="2:27" x14ac:dyDescent="0.2">
      <c r="B23" s="2" t="s">
        <v>4</v>
      </c>
      <c r="C23" s="2">
        <v>222</v>
      </c>
      <c r="D23" s="2">
        <v>220</v>
      </c>
      <c r="E23" s="2">
        <v>220</v>
      </c>
      <c r="F23" s="2">
        <f>+Y23</f>
        <v>220</v>
      </c>
      <c r="G23" s="2">
        <v>217</v>
      </c>
      <c r="H23" s="2">
        <v>217</v>
      </c>
      <c r="I23" s="2">
        <v>217</v>
      </c>
      <c r="J23" s="2">
        <f>+Z23</f>
        <v>216</v>
      </c>
      <c r="K23" s="2">
        <v>215</v>
      </c>
      <c r="L23" s="2">
        <v>214</v>
      </c>
      <c r="M23" s="2">
        <v>214</v>
      </c>
      <c r="N23" s="2">
        <f>+AA23</f>
        <v>214</v>
      </c>
      <c r="O23" s="2">
        <v>215</v>
      </c>
      <c r="P23" s="2">
        <v>216</v>
      </c>
      <c r="Y23" s="2">
        <v>220</v>
      </c>
      <c r="Z23" s="2">
        <v>216</v>
      </c>
      <c r="AA23" s="2">
        <v>214</v>
      </c>
    </row>
    <row r="25" spans="2:27" s="29" customFormat="1" x14ac:dyDescent="0.2">
      <c r="B25" s="29" t="s">
        <v>55</v>
      </c>
      <c r="C25" s="29">
        <f>+C12/C7</f>
        <v>0.90697674418604646</v>
      </c>
      <c r="D25" s="29">
        <f>+D12/D7</f>
        <v>0.9</v>
      </c>
      <c r="E25" s="29">
        <f>+E12/E7</f>
        <v>0.9040852575488455</v>
      </c>
      <c r="F25" s="29">
        <f>+F12/F7</f>
        <v>0.90751445086705207</v>
      </c>
      <c r="G25" s="29">
        <f>+G12/G7</f>
        <v>0.9</v>
      </c>
      <c r="H25" s="29">
        <f>+H12/H7</f>
        <v>0.90379951495553756</v>
      </c>
      <c r="I25" s="29">
        <f>+I12/I7</f>
        <v>0.90625</v>
      </c>
      <c r="J25" s="29">
        <f>+J12/J7</f>
        <v>0.90591805766312594</v>
      </c>
      <c r="K25" s="29">
        <f t="shared" ref="K25:P25" si="37">+K12/K7</f>
        <v>0.89992119779353819</v>
      </c>
      <c r="L25" s="29">
        <f t="shared" si="37"/>
        <v>0.90557620817843865</v>
      </c>
      <c r="M25" s="29">
        <f t="shared" si="37"/>
        <v>0.91018387553041014</v>
      </c>
      <c r="N25" s="29">
        <f t="shared" si="37"/>
        <v>0.91150442477876104</v>
      </c>
      <c r="O25" s="29">
        <f t="shared" si="37"/>
        <v>0.90331686661961896</v>
      </c>
      <c r="P25" s="29">
        <f t="shared" si="37"/>
        <v>0.90697674418604646</v>
      </c>
      <c r="Y25" s="29">
        <f>+Y12/Y7</f>
        <v>0.90469676242590058</v>
      </c>
      <c r="Z25" s="29">
        <f>+Z12/Z7</f>
        <v>0.90409590409590412</v>
      </c>
      <c r="AA25" s="29">
        <f>+AA12/AA7</f>
        <v>0.90704020374749861</v>
      </c>
    </row>
    <row r="26" spans="2:27" s="29" customFormat="1" x14ac:dyDescent="0.2">
      <c r="B26" s="29" t="s">
        <v>56</v>
      </c>
      <c r="C26" s="29">
        <f>+C17/C7</f>
        <v>0.13549039433771487</v>
      </c>
      <c r="D26" s="29">
        <f>+D17/D7</f>
        <v>0.13962264150943396</v>
      </c>
      <c r="E26" s="29">
        <f>+E17/E7</f>
        <v>0.17140319715808169</v>
      </c>
      <c r="F26" s="29">
        <f>+F17/F7</f>
        <v>0.1180842279108175</v>
      </c>
      <c r="G26" s="29">
        <f>+G17/G7</f>
        <v>0.18290598290598289</v>
      </c>
      <c r="H26" s="29">
        <f>+H17/H7</f>
        <v>0.19563459983831852</v>
      </c>
      <c r="I26" s="29">
        <f>+I17/I7</f>
        <v>0.2</v>
      </c>
      <c r="J26" s="29">
        <f>+J17/J7</f>
        <v>0.2101669195751138</v>
      </c>
      <c r="K26" s="29">
        <f t="shared" ref="K26:P26" si="38">+K17/K7</f>
        <v>0.17100078802206461</v>
      </c>
      <c r="L26" s="29">
        <f t="shared" si="38"/>
        <v>0.19479553903345725</v>
      </c>
      <c r="M26" s="29">
        <f t="shared" si="38"/>
        <v>0.23620933521923621</v>
      </c>
      <c r="N26" s="29">
        <f t="shared" si="38"/>
        <v>0.21443158611300203</v>
      </c>
      <c r="O26" s="29">
        <f t="shared" si="38"/>
        <v>0.21100917431192662</v>
      </c>
      <c r="P26" s="29">
        <f t="shared" si="38"/>
        <v>0.22790697674418606</v>
      </c>
      <c r="Y26" s="29">
        <f>+Y17/Y7</f>
        <v>0.1409028727770178</v>
      </c>
      <c r="Z26" s="29">
        <f>+Z17/Z7</f>
        <v>0.19760239760239759</v>
      </c>
      <c r="AA26" s="29">
        <f>+AA17/AA7</f>
        <v>0.20520283791158814</v>
      </c>
    </row>
    <row r="27" spans="2:27" s="29" customFormat="1" x14ac:dyDescent="0.2">
      <c r="B27" s="29" t="s">
        <v>57</v>
      </c>
      <c r="C27" s="29">
        <f>+C21/C7</f>
        <v>0.15773508594539939</v>
      </c>
      <c r="D27" s="29">
        <f>+D21/D7</f>
        <v>0.10849056603773585</v>
      </c>
      <c r="E27" s="29">
        <f>+E21/E7</f>
        <v>0.1216696269982238</v>
      </c>
      <c r="F27" s="29">
        <f>+F21/F7</f>
        <v>7.3492981007431873E-2</v>
      </c>
      <c r="G27" s="29">
        <f>+G21/G7</f>
        <v>0.12478632478632479</v>
      </c>
      <c r="H27" s="29">
        <f>+H21/H7</f>
        <v>0.15036378334680678</v>
      </c>
      <c r="I27" s="29">
        <f>+I21/I7</f>
        <v>0.15468750000000001</v>
      </c>
      <c r="J27" s="29">
        <f>+J21/J7</f>
        <v>0.22230652503793627</v>
      </c>
      <c r="K27" s="29">
        <f t="shared" ref="K27:P27" si="39">+K21/K7</f>
        <v>0.12687155240346729</v>
      </c>
      <c r="L27" s="29">
        <f t="shared" si="39"/>
        <v>0.16505576208178438</v>
      </c>
      <c r="M27" s="29">
        <f t="shared" si="39"/>
        <v>0.17043847241867044</v>
      </c>
      <c r="N27" s="29">
        <f t="shared" si="39"/>
        <v>0.19196732471068753</v>
      </c>
      <c r="O27" s="29">
        <f t="shared" si="39"/>
        <v>0.17784050811573748</v>
      </c>
      <c r="P27" s="29">
        <f t="shared" si="39"/>
        <v>0.18737541528239202</v>
      </c>
      <c r="Y27" s="29">
        <f>+Y21/Y7</f>
        <v>0.11331509347925217</v>
      </c>
      <c r="Z27" s="29">
        <f>+Z21/Z7</f>
        <v>0.16443556443556442</v>
      </c>
      <c r="AA27" s="29">
        <f>+AA21/AA7</f>
        <v>0.16481717300345644</v>
      </c>
    </row>
    <row r="28" spans="2:27" s="29" customFormat="1" x14ac:dyDescent="0.2">
      <c r="B28" s="29" t="s">
        <v>58</v>
      </c>
      <c r="C28" s="29">
        <f>+C20/C19</f>
        <v>-0.19083969465648856</v>
      </c>
      <c r="D28" s="29">
        <f>+D20/D19</f>
        <v>0.17266187050359713</v>
      </c>
      <c r="E28" s="29">
        <f>+E20/E19</f>
        <v>0.27127659574468083</v>
      </c>
      <c r="F28" s="29">
        <f>+F20/F19</f>
        <v>0.16822429906542055</v>
      </c>
      <c r="G28" s="29">
        <f>+G20/G19</f>
        <v>0.25128205128205128</v>
      </c>
      <c r="H28" s="29">
        <f>+H20/H19</f>
        <v>0.19827586206896552</v>
      </c>
      <c r="I28" s="29">
        <f>+I20/I19</f>
        <v>0.18181818181818182</v>
      </c>
      <c r="J28" s="29">
        <f>+J20/J19</f>
        <v>-5.7761732851985562E-2</v>
      </c>
      <c r="K28" s="29">
        <f t="shared" ref="K28:P28" si="40">+K20/K19</f>
        <v>0.27149321266968324</v>
      </c>
      <c r="L28" s="29">
        <f t="shared" si="40"/>
        <v>0.13953488372093023</v>
      </c>
      <c r="M28" s="29">
        <f t="shared" si="40"/>
        <v>0.24687500000000001</v>
      </c>
      <c r="N28" s="29">
        <f t="shared" si="40"/>
        <v>0.16320474777448071</v>
      </c>
      <c r="O28" s="29">
        <f t="shared" si="40"/>
        <v>0.18446601941747573</v>
      </c>
      <c r="P28" s="29">
        <f t="shared" si="40"/>
        <v>0.19886363636363635</v>
      </c>
      <c r="Y28" s="29">
        <f>+Y20/Y19</f>
        <v>0.12035398230088495</v>
      </c>
      <c r="Z28" s="29">
        <f>+Z20/Z19</f>
        <v>0.13002114164904863</v>
      </c>
      <c r="AA28" s="29">
        <f>+AA20/AA19</f>
        <v>0.20246478873239437</v>
      </c>
    </row>
    <row r="30" spans="2:27" s="28" customFormat="1" x14ac:dyDescent="0.2">
      <c r="B30" s="28" t="s">
        <v>59</v>
      </c>
      <c r="C30" s="46" t="s">
        <v>133</v>
      </c>
      <c r="D30" s="46" t="s">
        <v>133</v>
      </c>
      <c r="E30" s="46" t="s">
        <v>133</v>
      </c>
      <c r="F30" s="46" t="s">
        <v>133</v>
      </c>
      <c r="G30" s="28">
        <f>+G7/C7-1</f>
        <v>0.18301314459049545</v>
      </c>
      <c r="H30" s="28">
        <f>+H7/D7-1</f>
        <v>0.16698113207547172</v>
      </c>
      <c r="I30" s="28">
        <f>+I7/E7-1</f>
        <v>0.13676731793960917</v>
      </c>
      <c r="J30" s="28">
        <f>+J7/F7-1</f>
        <v>8.8356729975227033E-2</v>
      </c>
      <c r="K30" s="28">
        <f>+K7/G7-1</f>
        <v>8.4615384615384537E-2</v>
      </c>
      <c r="L30" s="28">
        <f>+L7/H7-1</f>
        <v>8.730800323362975E-2</v>
      </c>
      <c r="M30" s="28">
        <f>+M7/I7-1</f>
        <v>0.10468750000000004</v>
      </c>
      <c r="N30" s="28">
        <f>+N7/J7-1</f>
        <v>0.11456752655538693</v>
      </c>
      <c r="O30" s="28">
        <f>+O7/K7-1</f>
        <v>0.11662726556343572</v>
      </c>
      <c r="P30" s="28">
        <f>+P7/L7-1</f>
        <v>0.11895910780669139</v>
      </c>
      <c r="Z30" s="28">
        <f>+Z7/Y7-1</f>
        <v>0.14113087095303234</v>
      </c>
      <c r="AA30" s="28">
        <f>+AA7/Z7-1</f>
        <v>9.8301698301698215E-2</v>
      </c>
    </row>
    <row r="31" spans="2:27" s="29" customFormat="1" x14ac:dyDescent="0.2">
      <c r="B31" s="29" t="s">
        <v>60</v>
      </c>
      <c r="C31" s="47" t="s">
        <v>133</v>
      </c>
      <c r="D31" s="29">
        <f>+D7/C7-1</f>
        <v>7.1789686552072851E-2</v>
      </c>
      <c r="E31" s="29">
        <f>+E7/D7-1</f>
        <v>6.2264150943396324E-2</v>
      </c>
      <c r="F31" s="29">
        <f>+F7/E7-1</f>
        <v>7.5488454706927222E-2</v>
      </c>
      <c r="G31" s="29">
        <f>+G7/F7-1</f>
        <v>-3.3856317093311272E-2</v>
      </c>
      <c r="H31" s="29">
        <f>+H7/G7-1</f>
        <v>5.7264957264957284E-2</v>
      </c>
      <c r="I31" s="29">
        <f>+I7/H7-1</f>
        <v>3.4761519805982299E-2</v>
      </c>
      <c r="J31" s="29">
        <f>+J7/I7-1</f>
        <v>2.9687500000000089E-2</v>
      </c>
      <c r="K31" s="29">
        <f>+K7/J7-1</f>
        <v>-3.7177541729893737E-2</v>
      </c>
      <c r="L31" s="29">
        <f>+L7/K7-1</f>
        <v>5.9889676910953593E-2</v>
      </c>
      <c r="M31" s="29">
        <f>+M7/L7-1</f>
        <v>5.1301115241635609E-2</v>
      </c>
      <c r="N31" s="29">
        <f>+N7/M7-1</f>
        <v>3.8896746817538963E-2</v>
      </c>
      <c r="O31" s="29">
        <f>+O7/N7-1</f>
        <v>-3.539823008849563E-2</v>
      </c>
      <c r="P31" s="29">
        <f>+P7/O7-1</f>
        <v>6.2103034580098804E-2</v>
      </c>
    </row>
    <row r="37" spans="2:16" x14ac:dyDescent="0.2">
      <c r="B37" s="31" t="s">
        <v>61</v>
      </c>
    </row>
    <row r="38" spans="2:16" s="26" customFormat="1" x14ac:dyDescent="0.2">
      <c r="B38" s="26" t="s">
        <v>6</v>
      </c>
      <c r="O38" s="26">
        <v>1681</v>
      </c>
      <c r="P38" s="26">
        <v>1513</v>
      </c>
    </row>
    <row r="39" spans="2:16" s="26" customFormat="1" x14ac:dyDescent="0.2">
      <c r="B39" s="26" t="s">
        <v>62</v>
      </c>
      <c r="O39" s="26">
        <v>308</v>
      </c>
      <c r="P39" s="26">
        <v>365</v>
      </c>
    </row>
    <row r="40" spans="2:16" s="25" customFormat="1" x14ac:dyDescent="0.2">
      <c r="B40" s="25" t="s">
        <v>63</v>
      </c>
      <c r="O40" s="25">
        <v>353</v>
      </c>
      <c r="P40" s="25">
        <v>402</v>
      </c>
    </row>
    <row r="41" spans="2:16" s="25" customFormat="1" x14ac:dyDescent="0.2">
      <c r="B41" s="25" t="s">
        <v>64</v>
      </c>
      <c r="O41" s="25">
        <v>468</v>
      </c>
      <c r="P41" s="25">
        <v>478</v>
      </c>
    </row>
    <row r="42" spans="2:16" s="25" customFormat="1" x14ac:dyDescent="0.2">
      <c r="B42" s="25" t="s">
        <v>65</v>
      </c>
      <c r="C42" s="25">
        <f t="shared" ref="C42:G42" si="41">+SUM(C38:C41)</f>
        <v>0</v>
      </c>
      <c r="D42" s="25">
        <f t="shared" si="41"/>
        <v>0</v>
      </c>
      <c r="E42" s="25">
        <f t="shared" si="41"/>
        <v>0</v>
      </c>
      <c r="F42" s="25">
        <f t="shared" si="41"/>
        <v>0</v>
      </c>
      <c r="G42" s="25">
        <f t="shared" ref="G42:O42" si="42">+SUM(G38:G41)</f>
        <v>0</v>
      </c>
      <c r="H42" s="25">
        <f t="shared" si="42"/>
        <v>0</v>
      </c>
      <c r="I42" s="25">
        <f t="shared" si="42"/>
        <v>0</v>
      </c>
      <c r="J42" s="25">
        <f t="shared" si="42"/>
        <v>0</v>
      </c>
      <c r="K42" s="25">
        <f t="shared" si="42"/>
        <v>0</v>
      </c>
      <c r="L42" s="25">
        <f t="shared" si="42"/>
        <v>0</v>
      </c>
      <c r="M42" s="25">
        <f t="shared" si="42"/>
        <v>0</v>
      </c>
      <c r="N42" s="25">
        <f t="shared" si="42"/>
        <v>0</v>
      </c>
      <c r="O42" s="25">
        <f t="shared" si="42"/>
        <v>2810</v>
      </c>
      <c r="P42" s="25">
        <f>+SUM(P38:P41)</f>
        <v>2758</v>
      </c>
    </row>
    <row r="43" spans="2:16" s="26" customFormat="1" x14ac:dyDescent="0.2">
      <c r="B43" s="26" t="s">
        <v>66</v>
      </c>
      <c r="O43" s="26">
        <v>238</v>
      </c>
      <c r="P43" s="26">
        <v>231</v>
      </c>
    </row>
    <row r="44" spans="2:16" s="25" customFormat="1" x14ac:dyDescent="0.2">
      <c r="B44" s="25" t="s">
        <v>68</v>
      </c>
      <c r="O44" s="25">
        <v>117</v>
      </c>
      <c r="P44" s="25">
        <v>116</v>
      </c>
    </row>
    <row r="45" spans="2:16" s="25" customFormat="1" x14ac:dyDescent="0.2">
      <c r="B45" s="25" t="s">
        <v>67</v>
      </c>
      <c r="O45" s="25">
        <v>214</v>
      </c>
      <c r="P45" s="25">
        <v>205</v>
      </c>
    </row>
    <row r="46" spans="2:16" s="25" customFormat="1" x14ac:dyDescent="0.2">
      <c r="B46" s="25" t="s">
        <v>69</v>
      </c>
      <c r="O46" s="25">
        <f>572+4133</f>
        <v>4705</v>
      </c>
      <c r="P46" s="25">
        <f>609+4253</f>
        <v>4862</v>
      </c>
    </row>
    <row r="47" spans="2:16" s="25" customFormat="1" x14ac:dyDescent="0.2">
      <c r="B47" s="25" t="s">
        <v>70</v>
      </c>
      <c r="O47" s="25">
        <v>1126</v>
      </c>
      <c r="P47" s="25">
        <v>1129</v>
      </c>
    </row>
    <row r="48" spans="2:16" s="25" customFormat="1" x14ac:dyDescent="0.2">
      <c r="B48" s="25" t="s">
        <v>71</v>
      </c>
      <c r="O48" s="25">
        <v>620</v>
      </c>
      <c r="P48" s="25">
        <v>659</v>
      </c>
    </row>
    <row r="49" spans="2:16" s="25" customFormat="1" x14ac:dyDescent="0.2">
      <c r="B49" s="25" t="s">
        <v>72</v>
      </c>
      <c r="C49" s="25">
        <f t="shared" ref="C49:G49" si="43">+SUM(C42:C48)</f>
        <v>0</v>
      </c>
      <c r="D49" s="25">
        <f t="shared" si="43"/>
        <v>0</v>
      </c>
      <c r="E49" s="25">
        <f t="shared" si="43"/>
        <v>0</v>
      </c>
      <c r="F49" s="25">
        <f t="shared" si="43"/>
        <v>0</v>
      </c>
      <c r="G49" s="25">
        <f t="shared" ref="G49:O49" si="44">+SUM(G42:G48)</f>
        <v>0</v>
      </c>
      <c r="H49" s="25">
        <f t="shared" si="44"/>
        <v>0</v>
      </c>
      <c r="I49" s="25">
        <f t="shared" si="44"/>
        <v>0</v>
      </c>
      <c r="J49" s="25">
        <f t="shared" si="44"/>
        <v>0</v>
      </c>
      <c r="K49" s="25">
        <f t="shared" si="44"/>
        <v>0</v>
      </c>
      <c r="L49" s="25">
        <f t="shared" si="44"/>
        <v>0</v>
      </c>
      <c r="M49" s="25">
        <f t="shared" si="44"/>
        <v>0</v>
      </c>
      <c r="N49" s="25">
        <f t="shared" si="44"/>
        <v>0</v>
      </c>
      <c r="O49" s="25">
        <f t="shared" si="44"/>
        <v>9830</v>
      </c>
      <c r="P49" s="25">
        <f>+SUM(P42:P48)</f>
        <v>9960</v>
      </c>
    </row>
    <row r="50" spans="2:16" s="25" customFormat="1" x14ac:dyDescent="0.2"/>
    <row r="51" spans="2:16" s="25" customFormat="1" x14ac:dyDescent="0.2">
      <c r="B51" s="25" t="s">
        <v>73</v>
      </c>
      <c r="O51" s="25">
        <v>163</v>
      </c>
      <c r="P51" s="25">
        <v>174</v>
      </c>
    </row>
    <row r="52" spans="2:16" s="25" customFormat="1" x14ac:dyDescent="0.2">
      <c r="B52" s="25" t="s">
        <v>74</v>
      </c>
      <c r="O52" s="25">
        <v>326</v>
      </c>
      <c r="P52" s="25">
        <v>361</v>
      </c>
    </row>
    <row r="53" spans="2:16" s="25" customFormat="1" x14ac:dyDescent="0.2">
      <c r="B53" s="25" t="s">
        <v>75</v>
      </c>
      <c r="O53" s="25">
        <v>59</v>
      </c>
      <c r="P53" s="25">
        <v>48</v>
      </c>
    </row>
    <row r="54" spans="2:16" s="25" customFormat="1" x14ac:dyDescent="0.2">
      <c r="B54" s="25" t="s">
        <v>76</v>
      </c>
      <c r="O54" s="25">
        <v>3362</v>
      </c>
      <c r="P54" s="25">
        <v>3228</v>
      </c>
    </row>
    <row r="55" spans="2:16" s="25" customFormat="1" x14ac:dyDescent="0.2">
      <c r="B55" s="25" t="s">
        <v>77</v>
      </c>
      <c r="O55" s="25">
        <v>66</v>
      </c>
      <c r="P55" s="25">
        <v>67</v>
      </c>
    </row>
    <row r="56" spans="2:16" s="26" customFormat="1" x14ac:dyDescent="0.2">
      <c r="B56" s="26" t="s">
        <v>80</v>
      </c>
      <c r="O56" s="26">
        <v>0</v>
      </c>
      <c r="P56" s="26">
        <v>300</v>
      </c>
    </row>
    <row r="57" spans="2:16" s="25" customFormat="1" x14ac:dyDescent="0.2">
      <c r="B57" s="25" t="s">
        <v>78</v>
      </c>
      <c r="O57" s="25">
        <v>121</v>
      </c>
      <c r="P57" s="25">
        <v>159</v>
      </c>
    </row>
    <row r="58" spans="2:16" s="25" customFormat="1" x14ac:dyDescent="0.2">
      <c r="B58" s="25" t="s">
        <v>79</v>
      </c>
      <c r="C58" s="25">
        <f t="shared" ref="C58:G58" si="45">+SUM(C51:C57)</f>
        <v>0</v>
      </c>
      <c r="D58" s="25">
        <f t="shared" si="45"/>
        <v>0</v>
      </c>
      <c r="E58" s="25">
        <f t="shared" si="45"/>
        <v>0</v>
      </c>
      <c r="F58" s="25">
        <f t="shared" si="45"/>
        <v>0</v>
      </c>
      <c r="G58" s="25">
        <f t="shared" ref="G58:O58" si="46">+SUM(G51:G57)</f>
        <v>0</v>
      </c>
      <c r="H58" s="25">
        <f t="shared" si="46"/>
        <v>0</v>
      </c>
      <c r="I58" s="25">
        <f t="shared" si="46"/>
        <v>0</v>
      </c>
      <c r="J58" s="25">
        <f t="shared" si="46"/>
        <v>0</v>
      </c>
      <c r="K58" s="25">
        <f t="shared" si="46"/>
        <v>0</v>
      </c>
      <c r="L58" s="25">
        <f t="shared" si="46"/>
        <v>0</v>
      </c>
      <c r="M58" s="25">
        <f t="shared" si="46"/>
        <v>0</v>
      </c>
      <c r="N58" s="25">
        <f t="shared" si="46"/>
        <v>0</v>
      </c>
      <c r="O58" s="25">
        <f t="shared" si="46"/>
        <v>4097</v>
      </c>
      <c r="P58" s="25">
        <f>+SUM(P51:P57)</f>
        <v>4337</v>
      </c>
    </row>
    <row r="59" spans="2:16" s="25" customFormat="1" x14ac:dyDescent="0.2">
      <c r="B59" s="25" t="s">
        <v>81</v>
      </c>
      <c r="O59" s="25">
        <v>600</v>
      </c>
      <c r="P59" s="25">
        <v>464</v>
      </c>
    </row>
    <row r="60" spans="2:16" s="25" customFormat="1" x14ac:dyDescent="0.2">
      <c r="B60" s="25" t="s">
        <v>82</v>
      </c>
      <c r="O60" s="25">
        <v>263</v>
      </c>
      <c r="P60" s="25">
        <v>250</v>
      </c>
    </row>
    <row r="61" spans="2:16" s="25" customFormat="1" x14ac:dyDescent="0.2">
      <c r="B61" s="25" t="s">
        <v>83</v>
      </c>
      <c r="O61" s="25">
        <v>178</v>
      </c>
      <c r="P61" s="25">
        <v>183</v>
      </c>
    </row>
    <row r="62" spans="2:16" s="25" customFormat="1" x14ac:dyDescent="0.2">
      <c r="B62" s="25" t="s">
        <v>89</v>
      </c>
      <c r="O62" s="25">
        <v>42</v>
      </c>
      <c r="P62" s="25">
        <v>36</v>
      </c>
    </row>
    <row r="63" spans="2:16" s="26" customFormat="1" x14ac:dyDescent="0.2">
      <c r="B63" s="26" t="s">
        <v>84</v>
      </c>
      <c r="O63" s="26">
        <v>2285</v>
      </c>
      <c r="P63" s="26">
        <v>1986</v>
      </c>
    </row>
    <row r="64" spans="2:16" s="25" customFormat="1" x14ac:dyDescent="0.2">
      <c r="B64" s="25" t="s">
        <v>85</v>
      </c>
      <c r="O64" s="25">
        <v>204</v>
      </c>
      <c r="P64" s="25">
        <v>230</v>
      </c>
    </row>
    <row r="65" spans="2:16" s="25" customFormat="1" x14ac:dyDescent="0.2">
      <c r="B65" s="25" t="s">
        <v>86</v>
      </c>
      <c r="C65" s="25">
        <f t="shared" ref="C65:G65" si="47">+SUM(C58:C64)</f>
        <v>0</v>
      </c>
      <c r="D65" s="25">
        <f t="shared" si="47"/>
        <v>0</v>
      </c>
      <c r="E65" s="25">
        <f t="shared" si="47"/>
        <v>0</v>
      </c>
      <c r="F65" s="25">
        <f t="shared" si="47"/>
        <v>0</v>
      </c>
      <c r="G65" s="25">
        <f t="shared" ref="G65:O65" si="48">+SUM(G58:G64)</f>
        <v>0</v>
      </c>
      <c r="H65" s="25">
        <f t="shared" si="48"/>
        <v>0</v>
      </c>
      <c r="I65" s="25">
        <f t="shared" si="48"/>
        <v>0</v>
      </c>
      <c r="J65" s="25">
        <f t="shared" si="48"/>
        <v>0</v>
      </c>
      <c r="K65" s="25">
        <f t="shared" si="48"/>
        <v>0</v>
      </c>
      <c r="L65" s="25">
        <f t="shared" si="48"/>
        <v>0</v>
      </c>
      <c r="M65" s="25">
        <f t="shared" si="48"/>
        <v>0</v>
      </c>
      <c r="N65" s="25">
        <f t="shared" si="48"/>
        <v>0</v>
      </c>
      <c r="O65" s="25">
        <f t="shared" si="48"/>
        <v>7669</v>
      </c>
      <c r="P65" s="25">
        <f>+SUM(P58:P64)</f>
        <v>7486</v>
      </c>
    </row>
    <row r="66" spans="2:16" s="25" customFormat="1" x14ac:dyDescent="0.2"/>
    <row r="67" spans="2:16" s="25" customFormat="1" x14ac:dyDescent="0.2">
      <c r="B67" s="25" t="s">
        <v>87</v>
      </c>
      <c r="O67" s="25">
        <v>2161</v>
      </c>
      <c r="P67" s="25">
        <v>2474</v>
      </c>
    </row>
    <row r="68" spans="2:16" s="25" customFormat="1" x14ac:dyDescent="0.2">
      <c r="B68" s="25" t="s">
        <v>88</v>
      </c>
      <c r="O68" s="25">
        <f>+O67+O65</f>
        <v>9830</v>
      </c>
      <c r="P68" s="25">
        <f>+P67+P65</f>
        <v>9960</v>
      </c>
    </row>
    <row r="70" spans="2:16" x14ac:dyDescent="0.2">
      <c r="B70" s="2" t="s">
        <v>90</v>
      </c>
      <c r="O70" s="25">
        <f t="shared" ref="O70" si="49">+O49-O65</f>
        <v>2161</v>
      </c>
      <c r="P70" s="25">
        <f>+P49-P65</f>
        <v>2474</v>
      </c>
    </row>
    <row r="71" spans="2:16" x14ac:dyDescent="0.2">
      <c r="B71" s="2" t="s">
        <v>91</v>
      </c>
      <c r="O71" s="2">
        <f t="shared" ref="O71" si="50">+O70/O23</f>
        <v>10.051162790697674</v>
      </c>
      <c r="P71" s="2">
        <f>+P70/P23</f>
        <v>11.453703703703704</v>
      </c>
    </row>
    <row r="73" spans="2:16" x14ac:dyDescent="0.2">
      <c r="B73" s="2" t="s">
        <v>6</v>
      </c>
      <c r="O73" s="25">
        <f t="shared" ref="O73" si="51">+O38+O39+O43</f>
        <v>2227</v>
      </c>
      <c r="P73" s="25">
        <f>+P38+P39+P43</f>
        <v>2109</v>
      </c>
    </row>
    <row r="74" spans="2:16" x14ac:dyDescent="0.2">
      <c r="B74" s="2" t="s">
        <v>7</v>
      </c>
      <c r="O74" s="25">
        <f t="shared" ref="O74" si="52">+O56+O63</f>
        <v>2285</v>
      </c>
      <c r="P74" s="25">
        <f>+P56+P63</f>
        <v>2286</v>
      </c>
    </row>
    <row r="75" spans="2:16" x14ac:dyDescent="0.2">
      <c r="B75" s="2" t="s">
        <v>8</v>
      </c>
      <c r="O75" s="25">
        <f t="shared" ref="O75" si="53">+O73-O74</f>
        <v>-58</v>
      </c>
      <c r="P75" s="25">
        <f>+P73-P74</f>
        <v>-177</v>
      </c>
    </row>
    <row r="77" spans="2:16" x14ac:dyDescent="0.2">
      <c r="B77" s="2" t="s">
        <v>113</v>
      </c>
      <c r="M77" s="2">
        <v>283.8</v>
      </c>
      <c r="N77" s="2">
        <v>243.48</v>
      </c>
      <c r="O77" s="2">
        <v>212.85</v>
      </c>
      <c r="P77" s="2">
        <v>247.52</v>
      </c>
    </row>
    <row r="78" spans="2:16" s="25" customFormat="1" x14ac:dyDescent="0.2">
      <c r="B78" s="25" t="s">
        <v>5</v>
      </c>
      <c r="M78" s="25">
        <f>+M77*M23</f>
        <v>60733.200000000004</v>
      </c>
      <c r="N78" s="25">
        <f>+N77*N23</f>
        <v>52104.72</v>
      </c>
      <c r="O78" s="25">
        <f>+O77*O23</f>
        <v>45762.75</v>
      </c>
      <c r="P78" s="25">
        <f>+P77*P23</f>
        <v>53464.32</v>
      </c>
    </row>
    <row r="79" spans="2:16" s="25" customFormat="1" x14ac:dyDescent="0.2">
      <c r="B79" s="25" t="s">
        <v>9</v>
      </c>
      <c r="O79" s="25">
        <f>+O78-O75</f>
        <v>45820.75</v>
      </c>
      <c r="P79" s="25">
        <f>+P78-P75</f>
        <v>53641.32</v>
      </c>
    </row>
    <row r="82" spans="2:27" x14ac:dyDescent="0.2">
      <c r="B82" s="31" t="s">
        <v>92</v>
      </c>
    </row>
    <row r="83" spans="2:27" s="25" customFormat="1" x14ac:dyDescent="0.2">
      <c r="B83" s="25" t="s">
        <v>93</v>
      </c>
      <c r="C83" s="25">
        <v>809</v>
      </c>
      <c r="G83" s="25">
        <v>1160</v>
      </c>
      <c r="K83" s="25">
        <v>723</v>
      </c>
      <c r="L83" s="25">
        <f>858-K83</f>
        <v>135</v>
      </c>
      <c r="M83" s="25">
        <f>876-L83-K83</f>
        <v>18</v>
      </c>
      <c r="N83" s="25">
        <f>+AA83-SUM(K83:M83)</f>
        <v>437</v>
      </c>
      <c r="O83" s="25">
        <v>494</v>
      </c>
      <c r="P83" s="25">
        <f>706-O83</f>
        <v>212</v>
      </c>
      <c r="Y83" s="25">
        <v>1531</v>
      </c>
      <c r="Z83" s="25">
        <v>2071</v>
      </c>
      <c r="AA83" s="25">
        <v>1313</v>
      </c>
    </row>
    <row r="84" spans="2:27" x14ac:dyDescent="0.2">
      <c r="B84" s="2" t="s">
        <v>94</v>
      </c>
      <c r="C84" s="2">
        <v>50</v>
      </c>
      <c r="G84" s="2">
        <v>32</v>
      </c>
      <c r="K84" s="2">
        <v>9</v>
      </c>
      <c r="L84" s="2">
        <f>16-K84</f>
        <v>7</v>
      </c>
      <c r="M84" s="2">
        <f>21-SUM(K84:L84)</f>
        <v>5</v>
      </c>
      <c r="N84" s="25">
        <f>+AA84-SUM(K84:M84)</f>
        <v>10</v>
      </c>
      <c r="O84" s="2">
        <v>7</v>
      </c>
      <c r="P84" s="2">
        <f>16-O84</f>
        <v>9</v>
      </c>
      <c r="Y84" s="2">
        <v>56</v>
      </c>
      <c r="Z84" s="2">
        <v>40</v>
      </c>
      <c r="AA84" s="2">
        <v>31</v>
      </c>
    </row>
    <row r="85" spans="2:27" x14ac:dyDescent="0.2">
      <c r="B85" s="2" t="s">
        <v>95</v>
      </c>
      <c r="C85" s="25">
        <f>+C83-C84</f>
        <v>759</v>
      </c>
      <c r="G85" s="25">
        <f>+G83-G84</f>
        <v>1128</v>
      </c>
      <c r="K85" s="2">
        <f>+K83-K84</f>
        <v>714</v>
      </c>
      <c r="L85" s="2">
        <f>+L83-L84</f>
        <v>128</v>
      </c>
      <c r="M85" s="2">
        <f>+M83-M84</f>
        <v>13</v>
      </c>
      <c r="N85" s="2">
        <f>+N83-N84</f>
        <v>427</v>
      </c>
      <c r="O85" s="2">
        <f>+O83-O84</f>
        <v>487</v>
      </c>
      <c r="P85" s="2">
        <f>+P83-P84</f>
        <v>203</v>
      </c>
      <c r="Y85" s="25">
        <f>+Y83-Y84</f>
        <v>1475</v>
      </c>
      <c r="Z85" s="25">
        <f>+Z83-Z84</f>
        <v>2031</v>
      </c>
      <c r="AA85" s="25">
        <f>+AA83-AA84</f>
        <v>1282</v>
      </c>
    </row>
    <row r="87" spans="2:27" s="25" customFormat="1" x14ac:dyDescent="0.2">
      <c r="B87" s="25" t="s">
        <v>98</v>
      </c>
      <c r="N87" s="25">
        <f>+SUM(K85:N85)</f>
        <v>1282</v>
      </c>
      <c r="O87" s="25">
        <f>+SUM(L85:O85)</f>
        <v>1055</v>
      </c>
      <c r="P87" s="25">
        <f>+SUM(M85:P85)</f>
        <v>1130</v>
      </c>
      <c r="Y87" s="25">
        <f>+Y85</f>
        <v>1475</v>
      </c>
      <c r="Z87" s="25">
        <f>+Z85</f>
        <v>2031</v>
      </c>
      <c r="AA87" s="25">
        <f>+AA85</f>
        <v>1282</v>
      </c>
    </row>
    <row r="88" spans="2:27" x14ac:dyDescent="0.2">
      <c r="B88" s="2" t="s">
        <v>96</v>
      </c>
      <c r="N88" s="2">
        <f>+N87/N23</f>
        <v>5.990654205607477</v>
      </c>
      <c r="O88" s="2">
        <f>+O87/O23</f>
        <v>4.9069767441860463</v>
      </c>
      <c r="P88" s="2">
        <f>+P87/P23</f>
        <v>5.2314814814814818</v>
      </c>
      <c r="Y88" s="2">
        <f>+Y87/Y23</f>
        <v>6.7045454545454541</v>
      </c>
      <c r="Z88" s="2">
        <f>+Z87/Z23</f>
        <v>9.4027777777777786</v>
      </c>
      <c r="AA88" s="2">
        <f>+AA87/AA23</f>
        <v>5.990654205607477</v>
      </c>
    </row>
    <row r="89" spans="2:27" s="45" customFormat="1" x14ac:dyDescent="0.2">
      <c r="B89" s="45" t="s">
        <v>97</v>
      </c>
      <c r="N89" s="45">
        <f>+N77/N88</f>
        <v>40.64330733229329</v>
      </c>
      <c r="O89" s="45">
        <f>+O77/O88</f>
        <v>43.377014218009478</v>
      </c>
      <c r="P89" s="45">
        <f>+P77/P88</f>
        <v>47.313557522123894</v>
      </c>
    </row>
  </sheetData>
  <phoneticPr fontId="8" type="noConversion"/>
  <hyperlinks>
    <hyperlink ref="P1" r:id="rId1" display="Q224" xr:uid="{D5DBBD89-A61D-4F3A-9E1C-30B1DDD67C3E}"/>
    <hyperlink ref="O1" r:id="rId2" display="Q124" xr:uid="{DF56E1CD-4488-4757-9A65-31755E2954D0}"/>
    <hyperlink ref="M1" r:id="rId3" display="Q323" xr:uid="{5671B706-976C-4D5C-9ADF-C9F83D4468BA}"/>
    <hyperlink ref="N1" r:id="rId4" xr:uid="{B00088EC-D5BD-487F-B3F1-EC27F64EE756}"/>
    <hyperlink ref="I1" r:id="rId5" xr:uid="{B478A006-1CD0-4FE4-8592-310B443EAD69}"/>
    <hyperlink ref="H1" r:id="rId6" xr:uid="{F83179AB-C30C-4A94-9151-352BC85A87C1}"/>
    <hyperlink ref="G1" r:id="rId7" xr:uid="{A7372BD3-E118-41F5-956D-A3C8C84541EC}"/>
  </hyperlinks>
  <pageMargins left="0.7" right="0.7" top="0.75" bottom="0.75" header="0.3" footer="0.3"/>
  <pageSetup orientation="portrait" r:id="rId8"/>
  <ignoredErrors>
    <ignoredError sqref="O7:P7 M7 I7" formulaRange="1"/>
    <ignoredError sqref="N7:N22 J7:J23 F7:F2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</dc:creator>
  <cp:lastModifiedBy>me</cp:lastModifiedBy>
  <dcterms:created xsi:type="dcterms:W3CDTF">2024-11-23T23:58:49Z</dcterms:created>
  <dcterms:modified xsi:type="dcterms:W3CDTF">2024-11-24T23:46:50Z</dcterms:modified>
</cp:coreProperties>
</file>