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CF5C04DC-EECC-498F-84C6-AE324998C234}" xr6:coauthVersionLast="47" xr6:coauthVersionMax="47" xr10:uidLastSave="{00000000-0000-0000-0000-000000000000}"/>
  <bookViews>
    <workbookView xWindow="-120" yWindow="-120" windowWidth="29040" windowHeight="15720" xr2:uid="{AFC643F4-9510-457F-8BC2-75D95EE8546E}"/>
  </bookViews>
  <sheets>
    <sheet name="Main" sheetId="1" r:id="rId1"/>
    <sheet name="Currenci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K10" i="1"/>
  <c r="L10" i="1"/>
  <c r="R8" i="1" l="1"/>
  <c r="AH8" i="1"/>
  <c r="AB8" i="1" l="1"/>
  <c r="AA8" i="1"/>
  <c r="AG8" i="1"/>
  <c r="AF8" i="1"/>
  <c r="AI8" i="1" l="1"/>
  <c r="Z8" i="1"/>
  <c r="X8" i="1"/>
  <c r="W8" i="1"/>
  <c r="V8" i="1"/>
  <c r="U8" i="1"/>
  <c r="G8" i="1"/>
  <c r="L8" i="1"/>
  <c r="K8" i="1"/>
  <c r="F8" i="1"/>
  <c r="H8" i="1"/>
  <c r="Q8" i="1" l="1"/>
  <c r="I8" i="1"/>
  <c r="J8" i="1" l="1"/>
  <c r="I5" i="1"/>
  <c r="S13" i="1" l="1"/>
  <c r="R13" i="1"/>
  <c r="Q13" i="1"/>
  <c r="X13" i="1"/>
  <c r="W13" i="1"/>
  <c r="V13" i="1"/>
  <c r="U13" i="1"/>
  <c r="Z13" i="1"/>
  <c r="AB13" i="1"/>
  <c r="AA13" i="1"/>
  <c r="AF13" i="1"/>
  <c r="AI13" i="1"/>
  <c r="AH13" i="1"/>
  <c r="AG13" i="1"/>
  <c r="L13" i="1"/>
  <c r="K13" i="1"/>
  <c r="G13" i="1"/>
  <c r="D4" i="2"/>
  <c r="D3" i="2"/>
  <c r="I13" i="1" s="1"/>
  <c r="H13" i="1" l="1"/>
  <c r="J13" i="1" s="1"/>
  <c r="Q12" i="1"/>
  <c r="R12" i="1"/>
  <c r="S12" i="1"/>
  <c r="I12" i="1"/>
  <c r="G12" i="1"/>
  <c r="F12" i="1"/>
  <c r="L12" i="1"/>
  <c r="K12" i="1"/>
  <c r="AA12" i="1"/>
  <c r="Z12" i="1"/>
  <c r="H12" i="1" l="1"/>
  <c r="J12" i="1" s="1"/>
  <c r="U12" i="1"/>
  <c r="W12" i="1"/>
  <c r="X12" i="1"/>
  <c r="V12" i="1"/>
  <c r="AB12" i="1" l="1"/>
  <c r="AC12" i="1" l="1"/>
  <c r="AH12" i="1" l="1"/>
  <c r="AG12" i="1"/>
  <c r="AF12" i="1"/>
  <c r="O5" i="1" l="1"/>
  <c r="N5" i="1"/>
  <c r="M5" i="1"/>
  <c r="AI5" i="1"/>
  <c r="AH5" i="1"/>
  <c r="AG5" i="1"/>
  <c r="AF5" i="1"/>
  <c r="AE5" i="1"/>
  <c r="AC5" i="1"/>
  <c r="AB5" i="1"/>
  <c r="Z5" i="1"/>
  <c r="X5" i="1"/>
  <c r="W5" i="1"/>
  <c r="V5" i="1"/>
  <c r="U5" i="1"/>
  <c r="S5" i="1"/>
  <c r="R5" i="1"/>
  <c r="Q5" i="1"/>
  <c r="L5" i="1"/>
  <c r="K5" i="1"/>
  <c r="J5" i="1"/>
  <c r="H5" i="1"/>
  <c r="G5" i="1"/>
  <c r="F5" i="1"/>
  <c r="AI6" i="1" l="1"/>
  <c r="AH6" i="1"/>
  <c r="AG6" i="1"/>
  <c r="AF6" i="1"/>
  <c r="AF3" i="1"/>
  <c r="AE3" i="1"/>
  <c r="Z6" i="1"/>
  <c r="X6" i="1"/>
  <c r="W6" i="1"/>
  <c r="V6" i="1"/>
  <c r="U6" i="1"/>
  <c r="L6" i="1"/>
  <c r="K6" i="1"/>
  <c r="F6" i="1"/>
  <c r="AI3" i="1"/>
  <c r="AH3" i="1"/>
  <c r="AG3" i="1"/>
  <c r="AC3" i="1"/>
  <c r="AB3" i="1"/>
  <c r="AA3" i="1"/>
  <c r="Z3" i="1"/>
  <c r="X3" i="1"/>
  <c r="W3" i="1"/>
  <c r="V3" i="1"/>
  <c r="U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6" i="1" l="1"/>
  <c r="AE6" i="1"/>
  <c r="G6" i="1"/>
  <c r="I6" i="1" l="1"/>
  <c r="H6" i="1"/>
  <c r="J6" i="1" l="1"/>
</calcChain>
</file>

<file path=xl/sharedStrings.xml><?xml version="1.0" encoding="utf-8"?>
<sst xmlns="http://schemas.openxmlformats.org/spreadsheetml/2006/main" count="82" uniqueCount="72">
  <si>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</si>
  <si>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</si>
  <si>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</si>
  <si>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</si>
  <si>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</si>
  <si>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</si>
  <si>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</si>
  <si>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</si>
  <si>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</si>
  <si>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</si>
  <si>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</si>
  <si>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</si>
  <si>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</si>
  <si>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</si>
  <si>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</si>
  <si>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</si>
  <si>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</si>
  <si>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</si>
  <si>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</si>
  <si>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</si>
  <si>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</si>
  <si>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</si>
  <si>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</si>
  <si>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</si>
  <si>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</si>
  <si>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</si>
  <si>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</si>
  <si>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</si>
  <si>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</si>
  <si>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</si>
  <si>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</si>
  <si>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</si>
  <si>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</si>
  <si>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</si>
  <si>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</si>
  <si>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</si>
  <si>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</si>
  <si>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</si>
  <si>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</si>
  <si>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</si>
  <si>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</si>
  <si>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</si>
  <si>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</si>
  <si>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</si>
  <si>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</si>
  <si>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</si>
  <si>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</si>
  <si>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</si>
  <si>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</si>
  <si>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</si>
  <si>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</si>
  <si>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</si>
  <si>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</si>
  <si>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</si>
  <si>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</si>
  <si>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</si>
  <si>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</si>
  <si>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</si>
  <si>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</si>
  <si>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</si>
  <si>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</si>
  <si>
    <t>£RPI</t>
  </si>
  <si>
    <t>Raspberry Pi Holdings Plc.</t>
  </si>
  <si>
    <t>INVERSE</t>
  </si>
  <si>
    <t>Semi-Conductors</t>
  </si>
  <si>
    <t>SBCs, Microncontrollers, Chips</t>
  </si>
  <si>
    <t xml:space="preserve"> </t>
  </si>
  <si>
    <t>$TWLO</t>
  </si>
  <si>
    <t>$TOST</t>
  </si>
  <si>
    <t>Restaurant POS &amp; Management</t>
  </si>
  <si>
    <t>Twillo Inc.</t>
  </si>
  <si>
    <t>Toast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</si>
</sst>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x"/>
    <numFmt numFmtId="165" formatCode="yyyy"/>
  </numFmts>
  <fonts count="11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$META.xlsx" TargetMode="External"/><Relationship Id="rId1" Type="http://schemas.openxmlformats.org/officeDocument/2006/relationships/externalLinkPath" Target="$ME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$RBLX.xlsx" TargetMode="External"/><Relationship Id="rId1" Type="http://schemas.openxmlformats.org/officeDocument/2006/relationships/externalLinkPath" Target="$RBL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$TOST.xlsx" TargetMode="External"/><Relationship Id="rId1" Type="http://schemas.openxmlformats.org/officeDocument/2006/relationships/externalLinkPath" Target="$TOS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PI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$TWLO.xlsx" TargetMode="External"/><Relationship Id="rId1" Type="http://schemas.openxmlformats.org/officeDocument/2006/relationships/externalLinkPath" Target="$TW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51.68</v>
          </cell>
          <cell r="G6" t="str">
            <v>San Mateo, CA</v>
          </cell>
        </row>
        <row r="7">
          <cell r="C7">
            <v>641.81399999999996</v>
          </cell>
          <cell r="G7">
            <v>2021</v>
          </cell>
        </row>
        <row r="8">
          <cell r="C8">
            <v>33168.947520000002</v>
          </cell>
          <cell r="G8">
            <v>2004</v>
          </cell>
        </row>
        <row r="9">
          <cell r="G9">
            <v>79.5</v>
          </cell>
        </row>
        <row r="10">
          <cell r="G10">
            <v>2457</v>
          </cell>
        </row>
        <row r="11">
          <cell r="C11">
            <v>2595.5510000000004</v>
          </cell>
          <cell r="G11" t="str">
            <v>Q324</v>
          </cell>
          <cell r="H11">
            <v>45596</v>
          </cell>
        </row>
        <row r="12">
          <cell r="C12">
            <v>30573.396520000002</v>
          </cell>
        </row>
        <row r="16">
          <cell r="G16">
            <v>523.51896884519317</v>
          </cell>
        </row>
        <row r="17">
          <cell r="G17">
            <v>11.261920977309074</v>
          </cell>
        </row>
        <row r="18">
          <cell r="G18">
            <v>-27.750520841528012</v>
          </cell>
        </row>
      </sheetData>
      <sheetData sheetId="1">
        <row r="22">
          <cell r="T22">
            <v>0.77778685524927171</v>
          </cell>
          <cell r="AX22">
            <v>0.09</v>
          </cell>
        </row>
        <row r="23">
          <cell r="T23">
            <v>-0.26629832028229189</v>
          </cell>
        </row>
        <row r="24">
          <cell r="T24">
            <v>-0.23188027884500237</v>
          </cell>
        </row>
        <row r="25">
          <cell r="T25">
            <v>-5.311828476229569E-4</v>
          </cell>
        </row>
        <row r="26">
          <cell r="AX26">
            <v>71.486963060421459</v>
          </cell>
        </row>
        <row r="28">
          <cell r="T28">
            <v>0.31255526862387373</v>
          </cell>
          <cell r="AE28">
            <v>1.0772942519902369</v>
          </cell>
          <cell r="AF28">
            <v>0.15937579623808262</v>
          </cell>
          <cell r="AX28">
            <v>0.38326166912580217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116.05</v>
          </cell>
        </row>
        <row r="7">
          <cell r="C7">
            <v>169.16992200000001</v>
          </cell>
        </row>
        <row r="8">
          <cell r="C8">
            <v>19632.169448100001</v>
          </cell>
        </row>
        <row r="11">
          <cell r="C11">
            <v>1744.9669999999999</v>
          </cell>
        </row>
        <row r="12">
          <cell r="C12">
            <v>17887.202448100001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9.9272299910295665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31.25</v>
          </cell>
        </row>
        <row r="7">
          <cell r="C7">
            <v>562</v>
          </cell>
        </row>
        <row r="8">
          <cell r="C8">
            <v>17562.5</v>
          </cell>
        </row>
        <row r="11">
          <cell r="C11">
            <v>1219</v>
          </cell>
        </row>
        <row r="12">
          <cell r="C12">
            <v>16343.5</v>
          </cell>
        </row>
        <row r="23">
          <cell r="C23" t="str">
            <v>Boston, MA</v>
          </cell>
        </row>
        <row r="24">
          <cell r="C24">
            <v>2011</v>
          </cell>
        </row>
        <row r="25">
          <cell r="C25">
            <v>2021</v>
          </cell>
        </row>
        <row r="28">
          <cell r="C28">
            <v>5500</v>
          </cell>
        </row>
        <row r="30">
          <cell r="C30" t="str">
            <v>Q224</v>
          </cell>
          <cell r="D30">
            <v>45511</v>
          </cell>
        </row>
        <row r="35">
          <cell r="C35">
            <v>13.542478565861263</v>
          </cell>
        </row>
        <row r="36">
          <cell r="C36">
            <v>4.0051311288483467</v>
          </cell>
        </row>
      </sheetData>
      <sheetData sheetId="1">
        <row r="28">
          <cell r="L28">
            <v>0.23027375201288244</v>
          </cell>
        </row>
        <row r="29">
          <cell r="L29">
            <v>4.0257648953301124E-3</v>
          </cell>
        </row>
        <row r="30">
          <cell r="L30">
            <v>1.1272141706924315E-2</v>
          </cell>
        </row>
        <row r="31">
          <cell r="L31">
            <v>0</v>
          </cell>
        </row>
        <row r="33">
          <cell r="L33">
            <v>0.26993865030674846</v>
          </cell>
          <cell r="T33">
            <v>0.6017595307917889</v>
          </cell>
          <cell r="U33">
            <v>0.41523251556206509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9.8859999999999992</v>
          </cell>
        </row>
        <row r="7">
          <cell r="C7">
            <v>1016</v>
          </cell>
        </row>
        <row r="11">
          <cell r="C11">
            <v>-792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H124</v>
          </cell>
          <cell r="D27">
            <v>45428</v>
          </cell>
        </row>
        <row r="32">
          <cell r="C32">
            <v>26.149764972535884</v>
          </cell>
        </row>
        <row r="33">
          <cell r="C33">
            <v>4.4660631391729657</v>
          </cell>
        </row>
        <row r="34">
          <cell r="C34">
            <v>9.2317794117647036</v>
          </cell>
        </row>
      </sheetData>
      <sheetData sheetId="1">
        <row r="20">
          <cell r="M20">
            <v>0.92881944444444442</v>
          </cell>
        </row>
        <row r="21">
          <cell r="M21">
            <v>0.18663194444444445</v>
          </cell>
        </row>
        <row r="22">
          <cell r="M22">
            <v>0.13541666666666666</v>
          </cell>
        </row>
        <row r="23">
          <cell r="M23">
            <v>0.23152709359605911</v>
          </cell>
        </row>
        <row r="25">
          <cell r="M25">
            <v>5.9797608095676136E-2</v>
          </cell>
          <cell r="U25">
            <v>-2.9952706253284278E-2</v>
          </cell>
          <cell r="V25">
            <v>5.4712892741061836E-2</v>
          </cell>
          <cell r="W25">
            <v>0.1217257318952234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3.33</v>
          </cell>
        </row>
        <row r="7">
          <cell r="C7">
            <v>193.41571500000001</v>
          </cell>
        </row>
        <row r="11">
          <cell r="C11">
            <v>26.295999999999999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115</v>
          </cell>
        </row>
        <row r="30">
          <cell r="C30" t="str">
            <v>H124</v>
          </cell>
          <cell r="D30">
            <v>45559</v>
          </cell>
        </row>
        <row r="35">
          <cell r="C35">
            <v>3.1948131495535712</v>
          </cell>
        </row>
        <row r="36">
          <cell r="C36">
            <v>2.6442251407476842</v>
          </cell>
        </row>
        <row r="38">
          <cell r="C38">
            <v>15.436558542879432</v>
          </cell>
        </row>
      </sheetData>
      <sheetData sheetId="1">
        <row r="30">
          <cell r="F30">
            <v>0.61254199328107539</v>
          </cell>
          <cell r="J30">
            <v>0.33624730593867169</v>
          </cell>
          <cell r="K30">
            <v>0.41487498602675421</v>
          </cell>
        </row>
        <row r="42">
          <cell r="F42">
            <v>0.23750000000000002</v>
          </cell>
        </row>
        <row r="43">
          <cell r="F43">
            <v>7.9166666666666677E-2</v>
          </cell>
        </row>
        <row r="44">
          <cell r="F44">
            <v>5.2777777777777792E-2</v>
          </cell>
        </row>
        <row r="45">
          <cell r="F45">
            <v>0.29629629629629622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  <sheetName val="Historical Projections"/>
      <sheetName val="Price History"/>
    </sheetNames>
    <sheetDataSet>
      <sheetData sheetId="0">
        <row r="28">
          <cell r="C28" t="str">
            <v>Q123</v>
          </cell>
          <cell r="D28">
            <v>45055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$RBLX.xlsx" TargetMode="External"/><Relationship Id="rId7" Type="http://schemas.openxmlformats.org/officeDocument/2006/relationships/hyperlink" Target="$TOST.xlsx" TargetMode="External"/><Relationship Id="rId2" Type="http://schemas.openxmlformats.org/officeDocument/2006/relationships/hyperlink" Target="$RDDT.xlsx" TargetMode="External"/><Relationship Id="rId1" Type="http://schemas.openxmlformats.org/officeDocument/2006/relationships/hyperlink" Target="$META.xlsx" TargetMode="External"/><Relationship Id="rId6" Type="http://schemas.openxmlformats.org/officeDocument/2006/relationships/hyperlink" Target="$TWLO.xlsx" TargetMode="External"/><Relationship Id="rId5" Type="http://schemas.openxmlformats.org/officeDocument/2006/relationships/hyperlink" Target="&#163;RPI.xlsx" TargetMode="External"/><Relationship Id="rId4" Type="http://schemas.openxmlformats.org/officeDocument/2006/relationships/hyperlink" Target="&#163;SG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L1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3" sqref="L13"/>
    </sheetView>
  </sheetViews>
  <sheetFormatPr defaultRowHeight="12.75"/>
  <cols>
    <col min="1" max="1" width="4.28515625" style="1" customWidth="1"/>
    <col min="2" max="2" width="9.140625" style="1"/>
    <col min="3" max="3" width="23.7109375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7109375" style="15" bestFit="1" customWidth="1"/>
    <col min="13" max="15" width="0" style="19" hidden="1" customWidth="1"/>
    <col min="16" max="16" width="9.140625" style="1"/>
    <col min="17" max="19" width="9.140625" style="12"/>
    <col min="20" max="20" width="9.140625" style="1"/>
    <col min="21" max="24" width="9.140625" style="14"/>
    <col min="25" max="25" width="9.140625" style="1"/>
    <col min="26" max="30" width="9.140625" style="2"/>
    <col min="31" max="31" width="9.140625" style="20"/>
    <col min="32" max="32" width="10.7109375" style="2" bestFit="1" customWidth="1"/>
    <col min="33" max="34" width="9.140625" style="2"/>
    <col min="35" max="35" width="16.85546875" style="2" bestFit="1" customWidth="1"/>
    <col min="36" max="36" width="9.140625" style="2"/>
    <col min="37" max="37" width="17.42578125" style="2" bestFit="1" customWidth="1"/>
    <col min="38" max="38" width="31.7109375" style="2" bestFit="1" customWidth="1"/>
    <col min="39" max="16384" width="9.140625" style="1"/>
  </cols>
  <sheetData>
    <row r="1" spans="2:38">
      <c r="F1" s="27" t="s">
        <v>60</v>
      </c>
      <c r="L1" s="2"/>
    </row>
    <row r="2" spans="2:38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6" t="s">
        <v>11</v>
      </c>
      <c r="N2" s="16" t="s">
        <v>12</v>
      </c>
      <c r="O2" s="16" t="s">
        <v>13</v>
      </c>
      <c r="Q2" s="11" t="s">
        <v>14</v>
      </c>
      <c r="R2" s="11" t="s">
        <v>15</v>
      </c>
      <c r="S2" s="11" t="s">
        <v>16</v>
      </c>
      <c r="U2" s="13" t="s">
        <v>17</v>
      </c>
      <c r="V2" s="13" t="s">
        <v>18</v>
      </c>
      <c r="W2" s="13" t="s">
        <v>19</v>
      </c>
      <c r="X2" s="13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/>
      <c r="AE2" s="21" t="s">
        <v>40</v>
      </c>
      <c r="AF2" s="4" t="s">
        <v>25</v>
      </c>
      <c r="AG2" s="4" t="s">
        <v>26</v>
      </c>
      <c r="AH2" s="4" t="s">
        <v>27</v>
      </c>
      <c r="AI2" s="4" t="s">
        <v>28</v>
      </c>
      <c r="AJ2" s="4"/>
      <c r="AK2" s="4" t="s">
        <v>29</v>
      </c>
      <c r="AL2" s="4" t="s">
        <v>30</v>
      </c>
    </row>
    <row r="3" spans="2:38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5">
        <f>+[1]Main!$D$31</f>
        <v>45595</v>
      </c>
      <c r="M3" s="17">
        <f>+'[1]Financial Model'!$AU$28</f>
        <v>627.94737053951712</v>
      </c>
      <c r="N3" s="18">
        <f>+'[1]Financial Model'!$AU$31</f>
        <v>9.1569820327006779E-2</v>
      </c>
      <c r="O3" s="18">
        <f>+'[1]Financial Model'!$AU$24</f>
        <v>7.0000000000000007E-2</v>
      </c>
      <c r="Q3" s="12">
        <f>+[1]Main!$C$35</f>
        <v>8.8425616760571089</v>
      </c>
      <c r="R3" s="12">
        <f>+[1]Main!$C$36</f>
        <v>9.3124609062453985</v>
      </c>
      <c r="S3" s="12">
        <f>+[1]Main!$C$38</f>
        <v>26.360609283332796</v>
      </c>
      <c r="U3" s="14">
        <f>+'[1]Financial Model'!$Y$22</f>
        <v>0.81830052477272164</v>
      </c>
      <c r="V3" s="14">
        <f>+'[1]Financial Model'!$Y$23</f>
        <v>0.4274557146024785</v>
      </c>
      <c r="W3" s="14">
        <f>+'[1]Financial Model'!$Y$24</f>
        <v>0.38650865998176848</v>
      </c>
      <c r="X3" s="14">
        <f>+'[1]Financial Model'!$Y$25</f>
        <v>0.11973964762652901</v>
      </c>
      <c r="Z3" s="14">
        <f>+'[1]Financial Model'!$Y$27</f>
        <v>0.18868974404029748</v>
      </c>
      <c r="AA3" s="14">
        <f>+'[1]Financial Model'!$AH$27</f>
        <v>0.15687468377226454</v>
      </c>
      <c r="AB3" s="14">
        <f>+'[1]Financial Model'!$AG$27</f>
        <v>-1.1193175554782941E-2</v>
      </c>
      <c r="AC3" s="14">
        <f>+'[1]Financial Model'!$AF$27</f>
        <v>0.37182574303495608</v>
      </c>
      <c r="AE3" s="20">
        <f>+[1]Main!$C$27*1000</f>
        <v>3900</v>
      </c>
      <c r="AF3" s="20">
        <f>+[1]Main!$C$28</f>
        <v>72404</v>
      </c>
      <c r="AG3" s="2">
        <f>+[1]Main!$C$24</f>
        <v>2004</v>
      </c>
      <c r="AH3" s="2">
        <f>+[1]Main!$C$25</f>
        <v>2012</v>
      </c>
      <c r="AI3" s="2" t="str">
        <f>+[1]Main!$C$23</f>
        <v>San Francisco, CA</v>
      </c>
      <c r="AK3" s="2" t="s">
        <v>41</v>
      </c>
      <c r="AL3" s="2" t="s">
        <v>42</v>
      </c>
    </row>
    <row r="5" spans="2:38">
      <c r="B5" s="5" t="s">
        <v>38</v>
      </c>
      <c r="C5" s="1" t="s">
        <v>39</v>
      </c>
      <c r="D5" s="2" t="s">
        <v>37</v>
      </c>
      <c r="E5" s="2" t="s">
        <v>33</v>
      </c>
      <c r="F5" s="10">
        <f>+[2]Main!$C$6</f>
        <v>51.68</v>
      </c>
      <c r="G5" s="8">
        <f>+[2]Main!$C$7</f>
        <v>641.81399999999996</v>
      </c>
      <c r="H5" s="8">
        <f>+[2]Main!$C$8</f>
        <v>33168.947520000002</v>
      </c>
      <c r="I5" s="8">
        <f>+[2]Main!$C$11</f>
        <v>2595.5510000000004</v>
      </c>
      <c r="J5" s="8">
        <f>+[2]Main!$C$12</f>
        <v>30573.396520000002</v>
      </c>
      <c r="K5" s="2" t="str">
        <f>+[2]Main!$G$11</f>
        <v>Q324</v>
      </c>
      <c r="L5" s="15">
        <f>+[2]Main!$H$11</f>
        <v>45596</v>
      </c>
      <c r="M5" s="22">
        <f>+'[2]Financial Model'!$AX$26</f>
        <v>71.486963060421459</v>
      </c>
      <c r="N5" s="18">
        <f>+'[2]Financial Model'!$AX$28</f>
        <v>0.38326166912580217</v>
      </c>
      <c r="O5" s="18">
        <f>+'[2]Financial Model'!$AX$22</f>
        <v>0.09</v>
      </c>
      <c r="Q5" s="12">
        <f>+[2]Main!$G$16</f>
        <v>523.51896884519317</v>
      </c>
      <c r="R5" s="12">
        <f>+[2]Main!$G$17</f>
        <v>11.261920977309074</v>
      </c>
      <c r="S5" s="12">
        <f>+[2]Main!$G$18</f>
        <v>-27.750520841528012</v>
      </c>
      <c r="U5" s="14">
        <f>+'[2]Financial Model'!$T$22</f>
        <v>0.77778685524927171</v>
      </c>
      <c r="V5" s="14">
        <f>+'[2]Financial Model'!$T$23</f>
        <v>-0.26629832028229189</v>
      </c>
      <c r="W5" s="14">
        <f>+'[2]Financial Model'!$T$24</f>
        <v>-0.23188027884500237</v>
      </c>
      <c r="X5" s="14">
        <f>+'[2]Financial Model'!$T$25</f>
        <v>-5.311828476229569E-4</v>
      </c>
      <c r="Z5" s="14">
        <f>+'[2]Financial Model'!$T$28</f>
        <v>0.31255526862387373</v>
      </c>
      <c r="AA5" s="14"/>
      <c r="AB5" s="14">
        <f>+'[2]Financial Model'!$AF$28</f>
        <v>0.15937579623808262</v>
      </c>
      <c r="AC5" s="14">
        <f>+'[2]Financial Model'!$AE$28</f>
        <v>1.0772942519902369</v>
      </c>
      <c r="AE5" s="20">
        <f>+[2]Main!$G$9</f>
        <v>79.5</v>
      </c>
      <c r="AF5" s="20">
        <f>+[2]Main!$G$10</f>
        <v>2457</v>
      </c>
      <c r="AG5" s="2">
        <f>+[2]Main!$G$8</f>
        <v>2004</v>
      </c>
      <c r="AH5" s="2">
        <f>+[2]Main!$G$7</f>
        <v>2021</v>
      </c>
      <c r="AI5" s="2" t="str">
        <f>+[2]Main!$G$6</f>
        <v>San Mateo, CA</v>
      </c>
      <c r="AK5" s="2" t="s">
        <v>43</v>
      </c>
      <c r="AL5" s="2" t="s">
        <v>44</v>
      </c>
    </row>
    <row r="6" spans="2:38">
      <c r="B6" s="6" t="s">
        <v>35</v>
      </c>
      <c r="C6" s="1" t="s">
        <v>36</v>
      </c>
      <c r="D6" s="2" t="s">
        <v>37</v>
      </c>
      <c r="E6" s="2" t="s">
        <v>33</v>
      </c>
      <c r="F6" s="10">
        <f>+[3]Main!$C$6</f>
        <v>116.05</v>
      </c>
      <c r="G6" s="8">
        <f>+[3]Main!$C$7</f>
        <v>169.16992200000001</v>
      </c>
      <c r="H6" s="8">
        <f>+[3]Main!$C$8</f>
        <v>19632.169448100001</v>
      </c>
      <c r="I6" s="8">
        <f>+[3]Main!$C$11</f>
        <v>1744.9669999999999</v>
      </c>
      <c r="J6" s="8">
        <f>+[3]Main!$C$12</f>
        <v>17887.202448100001</v>
      </c>
      <c r="K6" s="2" t="str">
        <f>+[3]Main!$C$32</f>
        <v>Q324</v>
      </c>
      <c r="L6" s="15">
        <f>+[3]Main!$D$32</f>
        <v>45594</v>
      </c>
      <c r="Q6" s="12">
        <f>+[3]Main!$C$37</f>
        <v>9.9272299910295665</v>
      </c>
      <c r="U6" s="14">
        <f>+'[3]Financial Model'!$I$18</f>
        <v>0.90049404192897387</v>
      </c>
      <c r="V6" s="14">
        <f>+'[3]Financial Model'!$I$19</f>
        <v>1.9589437090750374E-2</v>
      </c>
      <c r="W6" s="14">
        <f>+'[3]Financial Model'!$I$20</f>
        <v>8.5611925902322611E-2</v>
      </c>
      <c r="X6" s="14">
        <f>+'[3]Financial Model'!$I$21</f>
        <v>-1.0405477980665956E-3</v>
      </c>
      <c r="Z6" s="14">
        <f>+'[3]Financial Model'!$I$24</f>
        <v>0.67873527767604136</v>
      </c>
      <c r="AB6" s="2" t="s">
        <v>46</v>
      </c>
      <c r="AC6" s="2" t="s">
        <v>46</v>
      </c>
      <c r="AE6" s="20">
        <f>+[3]Main!$C$29</f>
        <v>97.2</v>
      </c>
      <c r="AF6" s="20">
        <f>+[3]Main!$C$30</f>
        <v>2013</v>
      </c>
      <c r="AG6" s="2">
        <f>+[3]Main!$C$25</f>
        <v>2005</v>
      </c>
      <c r="AH6" s="2">
        <f>+[3]Main!$C$26</f>
        <v>2024</v>
      </c>
      <c r="AI6" s="2" t="str">
        <f>+[3]Main!$C$24</f>
        <v>San Fransisco, CA</v>
      </c>
      <c r="AK6" s="2" t="s">
        <v>41</v>
      </c>
      <c r="AL6" s="2" t="s">
        <v>45</v>
      </c>
    </row>
    <row r="7" spans="2:38">
      <c r="F7" s="10" t="s">
        <v>66</v>
      </c>
    </row>
    <row r="8" spans="2:38">
      <c r="B8" s="5" t="s">
        <v>68</v>
      </c>
      <c r="C8" s="1" t="s">
        <v>71</v>
      </c>
      <c r="D8" s="2" t="s">
        <v>37</v>
      </c>
      <c r="E8" s="2" t="s">
        <v>33</v>
      </c>
      <c r="F8" s="10">
        <f>+[4]Main!$C$6</f>
        <v>31.25</v>
      </c>
      <c r="G8" s="8">
        <f>+[4]Main!$C$7</f>
        <v>562</v>
      </c>
      <c r="H8" s="8">
        <f>+[4]Main!$C$8</f>
        <v>17562.5</v>
      </c>
      <c r="I8" s="8">
        <f>+[4]Main!$C$11</f>
        <v>1219</v>
      </c>
      <c r="J8" s="8">
        <f>+[4]Main!$C$12</f>
        <v>16343.5</v>
      </c>
      <c r="K8" s="2" t="str">
        <f>+[4]Main!$C$30</f>
        <v>Q224</v>
      </c>
      <c r="L8" s="15">
        <f>+[4]Main!$D$30</f>
        <v>45511</v>
      </c>
      <c r="Q8" s="12">
        <f>+[4]Main!$C$35</f>
        <v>13.542478565861263</v>
      </c>
      <c r="R8" s="12">
        <f>+[4]Main!$C$36</f>
        <v>4.0051311288483467</v>
      </c>
      <c r="U8" s="14">
        <f>+'[4]Financial Model'!$L$28</f>
        <v>0.23027375201288244</v>
      </c>
      <c r="V8" s="14">
        <f>+'[4]Financial Model'!$L$29</f>
        <v>4.0257648953301124E-3</v>
      </c>
      <c r="W8" s="14">
        <f>+'[4]Financial Model'!$L$30</f>
        <v>1.1272141706924315E-2</v>
      </c>
      <c r="X8" s="14">
        <f>+'[4]Financial Model'!$L$31</f>
        <v>0</v>
      </c>
      <c r="Z8" s="14">
        <f>+'[4]Financial Model'!$L$33</f>
        <v>0.26993865030674846</v>
      </c>
      <c r="AA8" s="14">
        <f>+'[4]Financial Model'!$U$33</f>
        <v>0.41523251556206509</v>
      </c>
      <c r="AB8" s="14">
        <f>+'[4]Financial Model'!$T$33</f>
        <v>0.6017595307917889</v>
      </c>
      <c r="AF8" s="20">
        <f>+[4]Main!$C$28</f>
        <v>5500</v>
      </c>
      <c r="AG8" s="2">
        <f>+[4]Main!$C$24</f>
        <v>2011</v>
      </c>
      <c r="AH8" s="2">
        <f>+[4]Main!$C$25</f>
        <v>2021</v>
      </c>
      <c r="AI8" s="2" t="str">
        <f>+[4]Main!$C$23</f>
        <v>Boston, MA</v>
      </c>
      <c r="AL8" s="2" t="s">
        <v>69</v>
      </c>
    </row>
    <row r="10" spans="2:38">
      <c r="B10" s="5" t="s">
        <v>67</v>
      </c>
      <c r="C10" s="1" t="s">
        <v>70</v>
      </c>
      <c r="K10" s="2" t="str">
        <f>+[7]Main!$C$28</f>
        <v>Q123</v>
      </c>
      <c r="L10" s="15">
        <f>+[7]Main!$D$28</f>
        <v>45055</v>
      </c>
    </row>
    <row r="12" spans="2:38">
      <c r="B12" s="5" t="s">
        <v>47</v>
      </c>
      <c r="C12" s="1" t="s">
        <v>55</v>
      </c>
      <c r="D12" s="2" t="s">
        <v>50</v>
      </c>
      <c r="E12" s="2" t="s">
        <v>51</v>
      </c>
      <c r="F12" s="10">
        <f>+[5]Main!$C$6*Currencies!C3</f>
        <v>12.851799999999999</v>
      </c>
      <c r="G12" s="8">
        <f>+[5]Main!$C$7</f>
        <v>1016</v>
      </c>
      <c r="H12" s="8">
        <f>G12*F12</f>
        <v>13057.4288</v>
      </c>
      <c r="I12" s="8">
        <f>[5]Main!$C$11*Currencies!C3</f>
        <v>-1029.6000000000001</v>
      </c>
      <c r="J12" s="8">
        <f>H12-I12</f>
        <v>14087.0288</v>
      </c>
      <c r="K12" s="2" t="str">
        <f>+[5]Main!$C$27</f>
        <v>H124</v>
      </c>
      <c r="L12" s="15">
        <f>+[5]Main!$D$27</f>
        <v>45428</v>
      </c>
      <c r="Q12" s="12">
        <f>[5]Main!$C$34</f>
        <v>9.2317794117647036</v>
      </c>
      <c r="R12" s="12">
        <f>[5]Main!$C$33</f>
        <v>4.4660631391729657</v>
      </c>
      <c r="S12" s="12">
        <f>+[5]Main!$C$32</f>
        <v>26.149764972535884</v>
      </c>
      <c r="U12" s="14">
        <f>+'[5]Financial Model'!$M$20</f>
        <v>0.92881944444444442</v>
      </c>
      <c r="V12" s="14">
        <f>+'[5]Financial Model'!$M$21</f>
        <v>0.18663194444444445</v>
      </c>
      <c r="W12" s="14">
        <f>+'[5]Financial Model'!$M$22</f>
        <v>0.13541666666666666</v>
      </c>
      <c r="X12" s="14">
        <f>+'[5]Financial Model'!$M$23</f>
        <v>0.23152709359605911</v>
      </c>
      <c r="Z12" s="14">
        <f>+'[5]Financial Model'!$M$25</f>
        <v>5.9797608095676136E-2</v>
      </c>
      <c r="AA12" s="14">
        <f>+'[5]Financial Model'!$W$25</f>
        <v>0.1217257318952234</v>
      </c>
      <c r="AB12" s="14">
        <f>+'[5]Financial Model'!$V$25</f>
        <v>5.4712892741061836E-2</v>
      </c>
      <c r="AC12" s="14">
        <f>+'[5]Financial Model'!$U$25</f>
        <v>-2.9952706253284278E-2</v>
      </c>
      <c r="AF12" s="20">
        <f>+[5]Main!$C$26</f>
        <v>11565</v>
      </c>
      <c r="AG12" s="2">
        <f>+[5]Main!$C$24</f>
        <v>1981</v>
      </c>
      <c r="AH12" s="2">
        <f>+[5]Main!$C$25</f>
        <v>1989</v>
      </c>
      <c r="AI12" s="2" t="s">
        <v>52</v>
      </c>
      <c r="AK12" s="2" t="s">
        <v>53</v>
      </c>
      <c r="AL12" s="2" t="s">
        <v>54</v>
      </c>
    </row>
    <row r="13" spans="2:38">
      <c r="B13" s="5" t="s">
        <v>61</v>
      </c>
      <c r="C13" s="1" t="s">
        <v>62</v>
      </c>
      <c r="D13" s="2" t="s">
        <v>50</v>
      </c>
      <c r="E13" s="2" t="s">
        <v>33</v>
      </c>
      <c r="F13" s="10">
        <f>+[6]Main!$C$6*Currencies!C3</f>
        <v>4.3290000000000006</v>
      </c>
      <c r="G13" s="8">
        <f>+[6]Main!$C$7</f>
        <v>193.41571500000001</v>
      </c>
      <c r="H13" s="8">
        <f>G13*F13</f>
        <v>837.29663023500018</v>
      </c>
      <c r="I13" s="8">
        <f>[6]Main!$C$11*Currencies!D3</f>
        <v>20.227692307692305</v>
      </c>
      <c r="J13" s="8">
        <f>H13-I13</f>
        <v>817.06893792730784</v>
      </c>
      <c r="K13" s="2" t="str">
        <f>[6]Main!$C$30</f>
        <v>H124</v>
      </c>
      <c r="L13" s="15">
        <f>[6]Main!$D$30</f>
        <v>45559</v>
      </c>
      <c r="Q13" s="12">
        <f>+[6]Main!$C$35</f>
        <v>3.1948131495535712</v>
      </c>
      <c r="R13" s="12">
        <f>+[6]Main!$C$36</f>
        <v>2.6442251407476842</v>
      </c>
      <c r="S13" s="12">
        <f>+[6]Main!$C$38</f>
        <v>15.436558542879432</v>
      </c>
      <c r="U13" s="14">
        <f>+'[6]Financial Model'!$F$42</f>
        <v>0.23750000000000002</v>
      </c>
      <c r="V13" s="14">
        <f>+'[6]Financial Model'!$F$43</f>
        <v>7.9166666666666677E-2</v>
      </c>
      <c r="W13" s="14">
        <f>+'[6]Financial Model'!$F$44</f>
        <v>5.2777777777777792E-2</v>
      </c>
      <c r="X13" s="14">
        <f>+'[6]Financial Model'!$F$45</f>
        <v>0.29629629629629622</v>
      </c>
      <c r="Z13" s="14">
        <f>+'[6]Financial Model'!$F$30</f>
        <v>0.61254199328107539</v>
      </c>
      <c r="AA13" s="14">
        <f>+'[6]Financial Model'!$K$30</f>
        <v>0.41487498602675421</v>
      </c>
      <c r="AB13" s="14">
        <f>+'[6]Financial Model'!$J$30</f>
        <v>0.33624730593867169</v>
      </c>
      <c r="AC13" s="2" t="s">
        <v>46</v>
      </c>
      <c r="AF13" s="2">
        <f>+[6]Main!$C$27</f>
        <v>115</v>
      </c>
      <c r="AG13" s="2">
        <f>+[6]Main!$C$24</f>
        <v>2012</v>
      </c>
      <c r="AH13" s="30">
        <f>+[6]Main!$C$25</f>
        <v>45444</v>
      </c>
      <c r="AI13" s="2" t="str">
        <f>[6]Main!$C$23</f>
        <v>Cambridge, UK</v>
      </c>
      <c r="AK13" s="2" t="s">
        <v>64</v>
      </c>
      <c r="AL13" s="2" t="s">
        <v>65</v>
      </c>
    </row>
    <row r="15" spans="2:38">
      <c r="B15" s="1" t="s">
        <v>56</v>
      </c>
      <c r="C15" s="1" t="s">
        <v>58</v>
      </c>
      <c r="D15" s="2" t="s">
        <v>57</v>
      </c>
    </row>
  </sheetData>
  <conditionalFormatting sqref="L3:L1048576">
    <cfRule type="expression" dxfId="0" priority="1">
      <formula>IF(LEFT(B3,1)="$",(TODAY()-L3)&gt;90,IF(LEFT(B3,1)="£",(TODAY()-L3)&gt;180,""))</formula>
    </cfRule>
  </conditionalFormatting>
  <hyperlinks>
    <hyperlink ref="B3" r:id="rId1" xr:uid="{AFCC0C36-695A-4698-B366-E9445F7B4F63}"/>
    <hyperlink ref="B6" r:id="rId2" xr:uid="{1AA14988-C4F2-405C-BA9D-FBCA3DA35146}"/>
    <hyperlink ref="B5" r:id="rId3" xr:uid="{6E23CD56-40A8-49B9-8695-A01CE41D946F}"/>
    <hyperlink ref="B12" r:id="rId4" xr:uid="{89F1C803-E83B-4EBB-9559-C94EA1C82D1B}"/>
    <hyperlink ref="B13" r:id="rId5" xr:uid="{9E99E74D-49BE-4AB2-9A4F-760C29667821}"/>
    <hyperlink ref="B10" r:id="rId6" xr:uid="{F00D1BE3-173F-47F3-8A89-19A59E2190E1}"/>
    <hyperlink ref="B8" r:id="rId7" xr:uid="{3859F738-BD99-4DD5-8721-EF043945682D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2" sqref="C42"/>
    </sheetView>
  </sheetViews>
  <sheetFormatPr defaultRowHeight="12.75"/>
  <cols>
    <col min="1" max="1" width="9.140625" style="23"/>
    <col min="2" max="3" width="9.140625" style="26"/>
    <col min="4" max="4" width="9.140625" style="29"/>
    <col min="5" max="16384" width="9.140625" style="23"/>
  </cols>
  <sheetData>
    <row r="2" spans="2:4" s="24" customFormat="1">
      <c r="C2" s="25" t="s">
        <v>49</v>
      </c>
      <c r="D2" s="28" t="s">
        <v>63</v>
      </c>
    </row>
    <row r="3" spans="2:4">
      <c r="B3" s="25" t="s">
        <v>48</v>
      </c>
      <c r="C3" s="26">
        <v>1.3</v>
      </c>
      <c r="D3" s="29">
        <f>1/C3</f>
        <v>0.76923076923076916</v>
      </c>
    </row>
    <row r="4" spans="2:4">
      <c r="B4" s="25" t="s">
        <v>59</v>
      </c>
      <c r="C4" s="26">
        <v>1.0900000000000001</v>
      </c>
      <c r="D4" s="29">
        <f>1/C4</f>
        <v>0.9174311926605504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Currencies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2024-10-30T22:46:28Z</dcterms:created>
  <dcterms:modified xsi:type="dcterms:W3CDTF">2024-11-05T00:36:36Z</dcterms:modified>
</cp:coreProperties>
</file>