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CEA985B-ED45-467F-8C75-4CAB705056D8}" xr6:coauthVersionLast="36" xr6:coauthVersionMax="36" xr10:uidLastSave="{00000000-0000-0000-0000-000000000000}"/>
  <bookViews>
    <workbookView xWindow="0" yWindow="0" windowWidth="28800" windowHeight="12225" activeTab="1" xr2:uid="{0287C71D-5252-4198-8E23-C2E9787EAEE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9" i="2" l="1"/>
  <c r="T67" i="2"/>
  <c r="T64" i="2"/>
  <c r="T65" i="2" s="1"/>
  <c r="T62" i="2"/>
  <c r="N15" i="2"/>
  <c r="N16" i="2"/>
  <c r="N13" i="2"/>
  <c r="N24" i="2"/>
  <c r="N22" i="2"/>
  <c r="N11" i="2"/>
  <c r="N10" i="2"/>
  <c r="N8" i="2"/>
  <c r="N9" i="2" s="1"/>
  <c r="N12" i="2" s="1"/>
  <c r="N7" i="2"/>
  <c r="H3" i="2"/>
  <c r="H2" i="2"/>
  <c r="J67" i="2"/>
  <c r="J69" i="2" s="1"/>
  <c r="L69" i="2"/>
  <c r="L67" i="2"/>
  <c r="J64" i="2"/>
  <c r="J65" i="2" s="1"/>
  <c r="L65" i="2"/>
  <c r="L64" i="2"/>
  <c r="J62" i="2"/>
  <c r="L62" i="2"/>
  <c r="J61" i="2"/>
  <c r="L61" i="2"/>
  <c r="J58" i="2"/>
  <c r="J57" i="2"/>
  <c r="J56" i="2"/>
  <c r="J54" i="2"/>
  <c r="J53" i="2"/>
  <c r="J52" i="2"/>
  <c r="J51" i="2"/>
  <c r="J50" i="2"/>
  <c r="J55" i="2" s="1"/>
  <c r="J46" i="2"/>
  <c r="J47" i="2"/>
  <c r="J45" i="2"/>
  <c r="J44" i="2"/>
  <c r="J42" i="2"/>
  <c r="J41" i="2"/>
  <c r="J40" i="2"/>
  <c r="J43" i="2" s="1"/>
  <c r="J39" i="2"/>
  <c r="L58" i="2"/>
  <c r="L57" i="2"/>
  <c r="L56" i="2"/>
  <c r="L54" i="2"/>
  <c r="L53" i="2"/>
  <c r="L52" i="2"/>
  <c r="L51" i="2"/>
  <c r="L50" i="2"/>
  <c r="L55" i="2" s="1"/>
  <c r="L47" i="2"/>
  <c r="L45" i="2"/>
  <c r="L44" i="2"/>
  <c r="L42" i="2"/>
  <c r="L41" i="2"/>
  <c r="L40" i="2"/>
  <c r="L39" i="2"/>
  <c r="L46" i="2"/>
  <c r="D55" i="2"/>
  <c r="D59" i="2" s="1"/>
  <c r="F55" i="2"/>
  <c r="F59" i="2" s="1"/>
  <c r="H55" i="2"/>
  <c r="H59" i="2"/>
  <c r="D43" i="2"/>
  <c r="D48" i="2" s="1"/>
  <c r="F43" i="2"/>
  <c r="F48" i="2" s="1"/>
  <c r="H43" i="2"/>
  <c r="H48" i="2" s="1"/>
  <c r="L43" i="2"/>
  <c r="J38" i="2"/>
  <c r="L38" i="2"/>
  <c r="U67" i="2"/>
  <c r="U69" i="2" s="1"/>
  <c r="U64" i="2"/>
  <c r="U65" i="2" s="1"/>
  <c r="U62" i="2"/>
  <c r="U39" i="2"/>
  <c r="V67" i="2"/>
  <c r="V69" i="2" s="1"/>
  <c r="U55" i="2"/>
  <c r="U59" i="2" s="1"/>
  <c r="T55" i="2"/>
  <c r="T59" i="2" s="1"/>
  <c r="S55" i="2"/>
  <c r="S59" i="2" s="1"/>
  <c r="R55" i="2"/>
  <c r="R59" i="2" s="1"/>
  <c r="U43" i="2"/>
  <c r="U48" i="2" s="1"/>
  <c r="T43" i="2"/>
  <c r="T48" i="2" s="1"/>
  <c r="S43" i="2"/>
  <c r="R43" i="2"/>
  <c r="S48" i="2"/>
  <c r="R48" i="2"/>
  <c r="V55" i="2"/>
  <c r="V59" i="2" s="1"/>
  <c r="V62" i="2" s="1"/>
  <c r="V39" i="2"/>
  <c r="V43" i="2"/>
  <c r="V48" i="2" s="1"/>
  <c r="V64" i="2" s="1"/>
  <c r="V65" i="2" s="1"/>
  <c r="N14" i="2" l="1"/>
  <c r="N23" i="2" s="1"/>
  <c r="J59" i="2"/>
  <c r="J48" i="2"/>
  <c r="L59" i="2"/>
  <c r="L48" i="2"/>
  <c r="W2" i="2"/>
  <c r="N4" i="2" l="1"/>
  <c r="W4" i="2" s="1"/>
  <c r="D11" i="1"/>
  <c r="D10" i="1"/>
  <c r="D9" i="1"/>
  <c r="D7" i="1"/>
  <c r="M19" i="2"/>
  <c r="L19" i="2"/>
  <c r="J19" i="2"/>
  <c r="H18" i="2"/>
  <c r="D16" i="2"/>
  <c r="D13" i="2"/>
  <c r="D11" i="2"/>
  <c r="D10" i="2"/>
  <c r="D8" i="2"/>
  <c r="D7" i="2"/>
  <c r="D5" i="2"/>
  <c r="D6" i="2" s="1"/>
  <c r="D9" i="2" s="1"/>
  <c r="D12" i="2" s="1"/>
  <c r="D24" i="2" s="1"/>
  <c r="F13" i="2"/>
  <c r="F11" i="2"/>
  <c r="F10" i="2"/>
  <c r="F8" i="2"/>
  <c r="F7" i="2"/>
  <c r="F5" i="2"/>
  <c r="F4" i="2"/>
  <c r="G19" i="2" s="1"/>
  <c r="F16" i="2"/>
  <c r="D4" i="2"/>
  <c r="E19" i="2" s="1"/>
  <c r="J18" i="2"/>
  <c r="H16" i="2"/>
  <c r="H13" i="2"/>
  <c r="H11" i="2"/>
  <c r="H10" i="2"/>
  <c r="H8" i="2"/>
  <c r="H7" i="2"/>
  <c r="H5" i="2"/>
  <c r="H4" i="2"/>
  <c r="H19" i="2" s="1"/>
  <c r="U18" i="2"/>
  <c r="T18" i="2"/>
  <c r="H29" i="2"/>
  <c r="H30" i="2" s="1"/>
  <c r="U30" i="2"/>
  <c r="T30" i="2"/>
  <c r="D29" i="2"/>
  <c r="F29" i="2"/>
  <c r="F30" i="2" s="1"/>
  <c r="S30" i="2"/>
  <c r="F3" i="2"/>
  <c r="D2" i="2"/>
  <c r="F2" i="2"/>
  <c r="S18" i="2"/>
  <c r="S24" i="2"/>
  <c r="S23" i="2"/>
  <c r="T6" i="2"/>
  <c r="T9" i="2" s="1"/>
  <c r="T12" i="2" s="1"/>
  <c r="T14" i="2" s="1"/>
  <c r="T23" i="2" s="1"/>
  <c r="S6" i="2"/>
  <c r="S9" i="2" s="1"/>
  <c r="S12" i="2" s="1"/>
  <c r="S14" i="2" s="1"/>
  <c r="S15" i="2" s="1"/>
  <c r="R6" i="2"/>
  <c r="R9" i="2" s="1"/>
  <c r="R12" i="2" s="1"/>
  <c r="R14" i="2" s="1"/>
  <c r="R15" i="2" s="1"/>
  <c r="D31" i="2"/>
  <c r="F31" i="2"/>
  <c r="E31" i="2"/>
  <c r="G31" i="2"/>
  <c r="M31" i="2"/>
  <c r="J29" i="2"/>
  <c r="J31" i="2" s="1"/>
  <c r="L29" i="2"/>
  <c r="L31" i="2" s="1"/>
  <c r="L18" i="2"/>
  <c r="L3" i="2"/>
  <c r="J2" i="2"/>
  <c r="L2" i="2"/>
  <c r="J13" i="2"/>
  <c r="J11" i="2"/>
  <c r="J10" i="2"/>
  <c r="J8" i="2"/>
  <c r="J7" i="2"/>
  <c r="J16" i="2"/>
  <c r="L16" i="2"/>
  <c r="L13" i="2"/>
  <c r="L11" i="2"/>
  <c r="L10" i="2"/>
  <c r="L8" i="2"/>
  <c r="L7" i="2"/>
  <c r="L5" i="2"/>
  <c r="J5" i="2"/>
  <c r="J4" i="2"/>
  <c r="J6" i="2" s="1"/>
  <c r="J21" i="2" s="1"/>
  <c r="L4" i="2"/>
  <c r="L6" i="2" s="1"/>
  <c r="L21" i="2" s="1"/>
  <c r="V30" i="2"/>
  <c r="E30" i="2"/>
  <c r="G30" i="2"/>
  <c r="I30" i="2"/>
  <c r="K30" i="2"/>
  <c r="M30" i="2"/>
  <c r="V18" i="2"/>
  <c r="V6" i="2"/>
  <c r="V9" i="2" s="1"/>
  <c r="V12" i="2" s="1"/>
  <c r="V14" i="2" s="1"/>
  <c r="V23" i="2" s="1"/>
  <c r="U6" i="2"/>
  <c r="U9" i="2" s="1"/>
  <c r="U12" i="2" s="1"/>
  <c r="U14" i="2" s="1"/>
  <c r="U15" i="2" s="1"/>
  <c r="L30" i="2" l="1"/>
  <c r="L9" i="2"/>
  <c r="L22" i="2" s="1"/>
  <c r="H31" i="2"/>
  <c r="R23" i="2"/>
  <c r="T15" i="2"/>
  <c r="I19" i="2"/>
  <c r="D21" i="2"/>
  <c r="R24" i="2"/>
  <c r="H6" i="2"/>
  <c r="D22" i="2"/>
  <c r="K19" i="2"/>
  <c r="F18" i="2"/>
  <c r="V15" i="2"/>
  <c r="J30" i="2"/>
  <c r="K31" i="2"/>
  <c r="F6" i="2"/>
  <c r="F21" i="2" s="1"/>
  <c r="D19" i="2"/>
  <c r="V22" i="2"/>
  <c r="J9" i="2"/>
  <c r="J22" i="2" s="1"/>
  <c r="I31" i="2"/>
  <c r="R21" i="2"/>
  <c r="T21" i="2"/>
  <c r="S21" i="2"/>
  <c r="T22" i="2"/>
  <c r="F19" i="2"/>
  <c r="C39" i="1"/>
  <c r="V21" i="2"/>
  <c r="V24" i="2"/>
  <c r="R22" i="2"/>
  <c r="U21" i="2"/>
  <c r="S22" i="2"/>
  <c r="T24" i="2"/>
  <c r="N5" i="2"/>
  <c r="W5" i="2" s="1"/>
  <c r="W6" i="2" s="1"/>
  <c r="W21" i="2" s="1"/>
  <c r="W18" i="2"/>
  <c r="D14" i="2"/>
  <c r="F9" i="2"/>
  <c r="U22" i="2"/>
  <c r="U23" i="2"/>
  <c r="U24" i="2"/>
  <c r="L12" i="2"/>
  <c r="L14" i="2" s="1"/>
  <c r="C10" i="1"/>
  <c r="C67" i="2"/>
  <c r="C69" i="2" s="1"/>
  <c r="E67" i="2"/>
  <c r="E69" i="2" s="1"/>
  <c r="C55" i="2"/>
  <c r="C59" i="2" s="1"/>
  <c r="C62" i="2" s="1"/>
  <c r="E55" i="2"/>
  <c r="E59" i="2" s="1"/>
  <c r="C39" i="2"/>
  <c r="C43" i="2"/>
  <c r="C48" i="2" s="1"/>
  <c r="C64" i="2" s="1"/>
  <c r="C65" i="2" s="1"/>
  <c r="E39" i="2"/>
  <c r="E43" i="2" s="1"/>
  <c r="E48" i="2" s="1"/>
  <c r="E18" i="2"/>
  <c r="G18" i="2"/>
  <c r="C6" i="2"/>
  <c r="C9" i="2" s="1"/>
  <c r="C12" i="2" s="1"/>
  <c r="C14" i="2" s="1"/>
  <c r="C23" i="2" s="1"/>
  <c r="E6" i="2"/>
  <c r="E9" i="2" s="1"/>
  <c r="E12" i="2" s="1"/>
  <c r="E14" i="2" s="1"/>
  <c r="E23" i="2" s="1"/>
  <c r="L23" i="2" l="1"/>
  <c r="L15" i="2"/>
  <c r="E24" i="2"/>
  <c r="J12" i="2"/>
  <c r="C21" i="2"/>
  <c r="C22" i="2"/>
  <c r="H21" i="2"/>
  <c r="H9" i="2"/>
  <c r="E15" i="2"/>
  <c r="E22" i="2"/>
  <c r="E64" i="2"/>
  <c r="E65" i="2" s="1"/>
  <c r="C15" i="2"/>
  <c r="E21" i="2"/>
  <c r="C24" i="2"/>
  <c r="F12" i="2"/>
  <c r="F22" i="2"/>
  <c r="D23" i="2"/>
  <c r="D15" i="2"/>
  <c r="L24" i="2"/>
  <c r="E62" i="2"/>
  <c r="N6" i="2"/>
  <c r="G67" i="2"/>
  <c r="G69" i="2" s="1"/>
  <c r="G39" i="2"/>
  <c r="G43" i="2" s="1"/>
  <c r="G48" i="2" s="1"/>
  <c r="G55" i="2"/>
  <c r="G59" i="2" s="1"/>
  <c r="I67" i="2"/>
  <c r="I69" i="2" s="1"/>
  <c r="I55" i="2"/>
  <c r="I59" i="2" s="1"/>
  <c r="I39" i="2"/>
  <c r="I43" i="2" s="1"/>
  <c r="I48" i="2" s="1"/>
  <c r="G64" i="2" l="1"/>
  <c r="G65" i="2" s="1"/>
  <c r="H22" i="2"/>
  <c r="H12" i="2"/>
  <c r="F14" i="2"/>
  <c r="F24" i="2"/>
  <c r="J14" i="2"/>
  <c r="J24" i="2"/>
  <c r="I64" i="2"/>
  <c r="I65" i="2" s="1"/>
  <c r="I62" i="2"/>
  <c r="G62" i="2"/>
  <c r="I18" i="2"/>
  <c r="K18" i="2"/>
  <c r="G6" i="2"/>
  <c r="G9" i="2" s="1"/>
  <c r="G12" i="2" s="1"/>
  <c r="G14" i="2" s="1"/>
  <c r="G23" i="2" s="1"/>
  <c r="I6" i="2"/>
  <c r="I9" i="2" s="1"/>
  <c r="I12" i="2" s="1"/>
  <c r="I14" i="2" s="1"/>
  <c r="I23" i="2" s="1"/>
  <c r="J15" i="2" l="1"/>
  <c r="J23" i="2"/>
  <c r="F15" i="2"/>
  <c r="F23" i="2"/>
  <c r="H14" i="2"/>
  <c r="H24" i="2"/>
  <c r="G24" i="2"/>
  <c r="I15" i="2"/>
  <c r="G15" i="2"/>
  <c r="I21" i="2"/>
  <c r="I24" i="2"/>
  <c r="I22" i="2"/>
  <c r="G21" i="2"/>
  <c r="G22" i="2"/>
  <c r="H15" i="2" l="1"/>
  <c r="H23" i="2"/>
  <c r="C31" i="1"/>
  <c r="K67" i="2"/>
  <c r="K69" i="2" s="1"/>
  <c r="M67" i="2"/>
  <c r="K55" i="2"/>
  <c r="K59" i="2" s="1"/>
  <c r="K62" i="2" s="1"/>
  <c r="M55" i="2"/>
  <c r="M59" i="2" s="1"/>
  <c r="M62" i="2" s="1"/>
  <c r="K43" i="2"/>
  <c r="K48" i="2" s="1"/>
  <c r="M43" i="2"/>
  <c r="M48" i="2" s="1"/>
  <c r="M21" i="2"/>
  <c r="M18" i="2"/>
  <c r="K6" i="2"/>
  <c r="K9" i="2" s="1"/>
  <c r="M6" i="2"/>
  <c r="M9" i="2" s="1"/>
  <c r="M69" i="2" l="1"/>
  <c r="C9" i="1"/>
  <c r="M64" i="2"/>
  <c r="M65" i="2" s="1"/>
  <c r="C38" i="1" s="1"/>
  <c r="K22" i="2"/>
  <c r="K12" i="2"/>
  <c r="M12" i="2"/>
  <c r="M22" i="2"/>
  <c r="K64" i="2"/>
  <c r="K65" i="2" s="1"/>
  <c r="K21" i="2"/>
  <c r="K14" i="2" l="1"/>
  <c r="K24" i="2"/>
  <c r="M24" i="2"/>
  <c r="M14" i="2"/>
  <c r="C8" i="1"/>
  <c r="C11" i="1"/>
  <c r="C12" i="1" l="1"/>
  <c r="M23" i="2"/>
  <c r="M15" i="2"/>
  <c r="C41" i="1" s="1"/>
  <c r="K23" i="2"/>
  <c r="K15" i="2"/>
  <c r="C40" i="1" l="1"/>
  <c r="C42" i="1"/>
</calcChain>
</file>

<file path=xl/sharedStrings.xml><?xml version="1.0" encoding="utf-8"?>
<sst xmlns="http://schemas.openxmlformats.org/spreadsheetml/2006/main" count="162" uniqueCount="127">
  <si>
    <t>£TM17</t>
  </si>
  <si>
    <t>Team17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</si>
  <si>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</si>
  <si>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</si>
  <si>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</si>
  <si>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</si>
  <si>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</si>
  <si>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</si>
  <si>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</si>
  <si>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</si>
  <si>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</si>
  <si>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</si>
  <si>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</si>
  <si>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</si>
  <si>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</si>
  <si>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</si>
  <si>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 xml:space="preserve"> </t>
  </si>
  <si>
    <t>Key Events</t>
  </si>
  <si>
    <t>HQ</t>
  </si>
  <si>
    <t>Founded</t>
  </si>
  <si>
    <t>IPO</t>
  </si>
  <si>
    <t>Job losses "likely" at Team17, largely impacting the QA team. CEO also to leave</t>
  </si>
  <si>
    <t>Studios</t>
  </si>
  <si>
    <t>Games</t>
  </si>
  <si>
    <t>Pipeline</t>
  </si>
  <si>
    <t>Update</t>
  </si>
  <si>
    <t>IR</t>
  </si>
  <si>
    <t>Wakefield, UK</t>
  </si>
  <si>
    <t>Multiple CEO changes?</t>
  </si>
  <si>
    <t>Worms board game funded via KickStarter?</t>
  </si>
  <si>
    <t>last battle royale worms game was a flop?</t>
  </si>
  <si>
    <t>No physical worms on switch?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</si>
  <si>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</si>
  <si>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</si>
  <si>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</si>
  <si>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</si>
  <si>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</si>
  <si>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</si>
  <si>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</si>
  <si>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</si>
  <si>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</si>
  <si>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</si>
  <si>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</si>
  <si>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</si>
  <si>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</si>
  <si>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</si>
  <si>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</si>
  <si>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</si>
  <si>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H118</t>
  </si>
  <si>
    <t>H119</t>
  </si>
  <si>
    <t>H120</t>
  </si>
  <si>
    <t>H121</t>
  </si>
  <si>
    <t>H122</t>
  </si>
  <si>
    <t>H123</t>
  </si>
  <si>
    <t>H218</t>
  </si>
  <si>
    <t>H219</t>
  </si>
  <si>
    <t>H220</t>
  </si>
  <si>
    <t>H221</t>
  </si>
  <si>
    <t>H222</t>
  </si>
  <si>
    <t>H223</t>
  </si>
  <si>
    <t>Non-Finance Metrics</t>
  </si>
  <si>
    <t>Employees</t>
  </si>
  <si>
    <t>Games Released</t>
  </si>
  <si>
    <t>Revenue</t>
  </si>
  <si>
    <t>COGS</t>
  </si>
  <si>
    <t>Gross Profit</t>
  </si>
  <si>
    <t>Gross Margin %</t>
  </si>
  <si>
    <t>Operating Margin %</t>
  </si>
  <si>
    <t>Net Margin %</t>
  </si>
  <si>
    <t>Tax Rate %</t>
  </si>
  <si>
    <t>Revenue Y/Y</t>
  </si>
  <si>
    <t>Revenue H/H</t>
  </si>
  <si>
    <t>Link</t>
  </si>
  <si>
    <t>Administrative</t>
  </si>
  <si>
    <t>Other Income</t>
  </si>
  <si>
    <t>Operating Profit</t>
  </si>
  <si>
    <t>Finance Income</t>
  </si>
  <si>
    <t>Finance Costs</t>
  </si>
  <si>
    <t>Pretax Income</t>
  </si>
  <si>
    <t>Taxes</t>
  </si>
  <si>
    <t>Net Income</t>
  </si>
  <si>
    <t>EPS</t>
  </si>
  <si>
    <t>Balance Sheet</t>
  </si>
  <si>
    <t>Intangibles</t>
  </si>
  <si>
    <t>Investments in Associates</t>
  </si>
  <si>
    <t>PP&amp;E</t>
  </si>
  <si>
    <t>ROU</t>
  </si>
  <si>
    <t>Deferred Taxes</t>
  </si>
  <si>
    <t>Total NCA</t>
  </si>
  <si>
    <t>Trade &amp; A/R</t>
  </si>
  <si>
    <t>Inventories</t>
  </si>
  <si>
    <t>Assets</t>
  </si>
  <si>
    <t>Lease Liabilities</t>
  </si>
  <si>
    <t>Other Payables</t>
  </si>
  <si>
    <t>Provisions</t>
  </si>
  <si>
    <t>Total NCL</t>
  </si>
  <si>
    <t>Trade &amp; A/P</t>
  </si>
  <si>
    <t>Current Taxes</t>
  </si>
  <si>
    <t>Liabilities</t>
  </si>
  <si>
    <t>S/E</t>
  </si>
  <si>
    <t>S/E+L</t>
  </si>
  <si>
    <t>Book Value</t>
  </si>
  <si>
    <t>Book Value per Share</t>
  </si>
  <si>
    <t>Share Price</t>
  </si>
  <si>
    <t>Valuation Metrics</t>
  </si>
  <si>
    <t>P/B</t>
  </si>
  <si>
    <t>P/S</t>
  </si>
  <si>
    <t>EV/S</t>
  </si>
  <si>
    <t>P/E</t>
  </si>
  <si>
    <t>EV/E</t>
  </si>
  <si>
    <t>Emply.</t>
  </si>
  <si>
    <t>Name</t>
  </si>
  <si>
    <t>Location</t>
  </si>
  <si>
    <t>astragon Entertainment</t>
  </si>
  <si>
    <t>Dusseldorf, Germany</t>
  </si>
  <si>
    <t>Mouldy Tool Studios</t>
  </si>
  <si>
    <t>Yippee Entertainment</t>
  </si>
  <si>
    <t>Early 2022 MetaWorms NFT project led to staff revolt exposing bad management &amp; ethics</t>
  </si>
  <si>
    <t>No main-series worms game since 2016?</t>
  </si>
  <si>
    <t>British game developer &amp; publisher</t>
  </si>
  <si>
    <t>Tax Recievables</t>
  </si>
  <si>
    <t>-</t>
  </si>
  <si>
    <t>31/12//2022</t>
  </si>
  <si>
    <t>Employees Y/Y</t>
  </si>
  <si>
    <t>Employees H/H</t>
  </si>
  <si>
    <t>(EST.)</t>
  </si>
  <si>
    <t>Contingent 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</si>
</sst>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5" fillId="0" borderId="0" xfId="0" applyFont="1"/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7" fillId="0" borderId="0" xfId="0" applyFont="1"/>
    <xf numFmtId="0" fontId="4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right"/>
    </xf>
    <xf numFmtId="16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" fillId="0" borderId="0" xfId="0" applyNumberFormat="1" applyFont="1"/>
    <xf numFmtId="164" fontId="1" fillId="5" borderId="0" xfId="0" applyNumberFormat="1" applyFont="1" applyFill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165" fontId="1" fillId="0" borderId="0" xfId="0" applyNumberFormat="1" applyFont="1"/>
    <xf numFmtId="165" fontId="1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0" fontId="1" fillId="4" borderId="4" xfId="0" applyFont="1" applyFill="1" applyBorder="1"/>
    <xf numFmtId="0" fontId="5" fillId="0" borderId="0" xfId="0" applyFont="1" applyAlignment="1">
      <alignment horizontal="left" indent="1"/>
    </xf>
    <xf numFmtId="0" fontId="1" fillId="2" borderId="0" xfId="0" applyFont="1" applyFill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5" borderId="0" xfId="0" applyFont="1" applyFill="1"/>
    <xf numFmtId="14" fontId="8" fillId="5" borderId="0" xfId="0" applyNumberFormat="1" applyFont="1" applyFill="1" applyAlignment="1">
      <alignment horizontal="right"/>
    </xf>
    <xf numFmtId="16" fontId="8" fillId="5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5" borderId="0" xfId="0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0" fontId="9" fillId="6" borderId="0" xfId="0" applyFont="1" applyFill="1"/>
    <xf numFmtId="0" fontId="11" fillId="6" borderId="0" xfId="0" applyFont="1" applyFill="1" applyAlignment="1">
      <alignment horizontal="right"/>
    </xf>
    <xf numFmtId="0" fontId="12" fillId="6" borderId="0" xfId="0" applyFont="1" applyFill="1" applyAlignment="1">
      <alignment horizontal="right"/>
    </xf>
    <xf numFmtId="164" fontId="11" fillId="6" borderId="0" xfId="0" applyNumberFormat="1" applyFont="1" applyFill="1"/>
    <xf numFmtId="164" fontId="9" fillId="6" borderId="0" xfId="0" applyNumberFormat="1" applyFont="1" applyFill="1"/>
    <xf numFmtId="0" fontId="11" fillId="6" borderId="0" xfId="0" applyFont="1" applyFill="1"/>
    <xf numFmtId="166" fontId="9" fillId="6" borderId="0" xfId="0" applyNumberFormat="1" applyFont="1" applyFill="1"/>
    <xf numFmtId="165" fontId="9" fillId="6" borderId="0" xfId="0" applyNumberFormat="1" applyFont="1" applyFill="1"/>
    <xf numFmtId="9" fontId="11" fillId="6" borderId="0" xfId="0" applyNumberFormat="1" applyFont="1" applyFill="1"/>
    <xf numFmtId="9" fontId="9" fillId="6" borderId="0" xfId="0" applyNumberFormat="1" applyFont="1" applyFill="1"/>
    <xf numFmtId="0" fontId="13" fillId="6" borderId="0" xfId="0" applyFont="1" applyFill="1"/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9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83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6CEA8-D7D7-407C-8F06-20DE6EB60441}"/>
            </a:ext>
          </a:extLst>
        </xdr:cNvPr>
        <xdr:cNvCxnSpPr/>
      </xdr:nvCxnSpPr>
      <xdr:spPr>
        <a:xfrm>
          <a:off x="13096875" y="0"/>
          <a:ext cx="0" cy="11658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0</xdr:row>
      <xdr:rowOff>0</xdr:rowOff>
    </xdr:from>
    <xdr:to>
      <xdr:col>13</xdr:col>
      <xdr:colOff>19050</xdr:colOff>
      <xdr:row>83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C1116F-FCDD-4CB3-B335-6C9A7F85DBB4}"/>
            </a:ext>
          </a:extLst>
        </xdr:cNvPr>
        <xdr:cNvCxnSpPr/>
      </xdr:nvCxnSpPr>
      <xdr:spPr>
        <a:xfrm>
          <a:off x="8324850" y="0"/>
          <a:ext cx="0" cy="13277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eam17groupplc.com/rns-announcements/" TargetMode="External"/><Relationship Id="rId1" Type="http://schemas.openxmlformats.org/officeDocument/2006/relationships/hyperlink" Target="https://www.eurogamer.net/significant-job-losses-likely-at-worms-publisher-team17-sourc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polaris.brighterir.com/public/team17/news/rns/story/x88l1ex/expo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olaris.brighterir.com/public/team17/news/rns/story/xj3dvow/export" TargetMode="External"/><Relationship Id="rId1" Type="http://schemas.openxmlformats.org/officeDocument/2006/relationships/hyperlink" Target="https://polaris.brighterir.com/public/team17/news/rns/story/w9mjepx/export" TargetMode="External"/><Relationship Id="rId6" Type="http://schemas.openxmlformats.org/officeDocument/2006/relationships/hyperlink" Target="https://polaris.brighterir.com/public/team17/news/rns/story/w3m432x/export" TargetMode="External"/><Relationship Id="rId5" Type="http://schemas.openxmlformats.org/officeDocument/2006/relationships/hyperlink" Target="https://polaris.brighterir.com/public/team17/news/rns/story/r7nz31w/export" TargetMode="External"/><Relationship Id="rId4" Type="http://schemas.openxmlformats.org/officeDocument/2006/relationships/hyperlink" Target="https://polaris.brighterir.com/public/team17/news/rns/story/w1lyz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C33A-6E2A-4E88-A111-3F9F1B0B5134}">
  <dimension ref="B2:X42"/>
  <sheetViews>
    <sheetView workbookViewId="0">
      <selection activeCell="L22" sqref="L22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E2" s="55" t="s">
        <v>119</v>
      </c>
      <c r="F2" s="55"/>
      <c r="G2" s="55"/>
      <c r="H2" s="55"/>
    </row>
    <row r="3" spans="2:24" x14ac:dyDescent="0.2">
      <c r="B3" s="2" t="s">
        <v>1</v>
      </c>
    </row>
    <row r="5" spans="2:24" x14ac:dyDescent="0.2">
      <c r="B5" s="85" t="s">
        <v>2</v>
      </c>
      <c r="C5" s="86"/>
      <c r="D5" s="87"/>
      <c r="G5" s="85" t="s">
        <v>17</v>
      </c>
      <c r="H5" s="86"/>
      <c r="I5" s="86"/>
      <c r="J5" s="86"/>
      <c r="K5" s="86"/>
      <c r="L5" s="86"/>
      <c r="M5" s="86"/>
      <c r="N5" s="86"/>
      <c r="O5" s="87"/>
      <c r="S5" s="85" t="s">
        <v>22</v>
      </c>
      <c r="T5" s="86"/>
      <c r="U5" s="86"/>
      <c r="V5" s="86"/>
      <c r="W5" s="86"/>
      <c r="X5" s="87"/>
    </row>
    <row r="6" spans="2:24" x14ac:dyDescent="0.2">
      <c r="B6" s="3" t="s">
        <v>3</v>
      </c>
      <c r="C6" s="4">
        <v>2.75</v>
      </c>
      <c r="D6" s="18"/>
      <c r="G6" s="6"/>
      <c r="H6" s="8"/>
      <c r="I6" s="8"/>
      <c r="J6" s="8"/>
      <c r="K6" s="8"/>
      <c r="L6" s="8"/>
      <c r="M6" s="8"/>
      <c r="N6" s="8"/>
      <c r="O6" s="9"/>
      <c r="S6" s="50" t="s">
        <v>111</v>
      </c>
      <c r="T6" s="51"/>
      <c r="U6" s="51"/>
      <c r="V6" s="51" t="s">
        <v>112</v>
      </c>
      <c r="W6" s="51"/>
      <c r="X6" s="52" t="s">
        <v>19</v>
      </c>
    </row>
    <row r="7" spans="2:24" x14ac:dyDescent="0.2">
      <c r="B7" s="3" t="s">
        <v>4</v>
      </c>
      <c r="C7" s="16">
        <v>145.80000000000001</v>
      </c>
      <c r="D7" s="18" t="str">
        <f>$C$33</f>
        <v>H123</v>
      </c>
      <c r="G7" s="6"/>
      <c r="H7" s="8"/>
      <c r="I7" s="8"/>
      <c r="J7" s="8"/>
      <c r="K7" s="8"/>
      <c r="L7" s="8"/>
      <c r="M7" s="8"/>
      <c r="N7" s="8"/>
      <c r="O7" s="9"/>
      <c r="S7" s="53" t="s">
        <v>113</v>
      </c>
      <c r="T7" s="8"/>
      <c r="U7" s="8"/>
      <c r="V7" s="8" t="s">
        <v>114</v>
      </c>
      <c r="W7" s="8"/>
      <c r="X7" s="23">
        <v>2000</v>
      </c>
    </row>
    <row r="8" spans="2:24" x14ac:dyDescent="0.2">
      <c r="B8" s="3" t="s">
        <v>5</v>
      </c>
      <c r="C8" s="16">
        <f>C6*C7</f>
        <v>400.95000000000005</v>
      </c>
      <c r="D8" s="18" t="s">
        <v>16</v>
      </c>
      <c r="G8" s="20">
        <v>45200</v>
      </c>
      <c r="H8" s="21" t="s">
        <v>21</v>
      </c>
      <c r="I8" s="8"/>
      <c r="J8" s="8"/>
      <c r="K8" s="8"/>
      <c r="L8" s="8"/>
      <c r="M8" s="8"/>
      <c r="N8" s="8"/>
      <c r="O8" s="9"/>
      <c r="S8" s="53" t="s">
        <v>115</v>
      </c>
      <c r="T8" s="8"/>
      <c r="U8" s="8"/>
      <c r="V8" s="8"/>
      <c r="W8" s="8"/>
      <c r="X8" s="23"/>
    </row>
    <row r="9" spans="2:24" x14ac:dyDescent="0.2">
      <c r="B9" s="3" t="s">
        <v>6</v>
      </c>
      <c r="C9" s="16">
        <f>+'Financial Model'!M67</f>
        <v>45.158999999999999</v>
      </c>
      <c r="D9" s="18" t="str">
        <f t="shared" ref="D9:D11" si="0">$C$33</f>
        <v>H123</v>
      </c>
      <c r="G9" s="6"/>
      <c r="H9" s="8"/>
      <c r="I9" s="8"/>
      <c r="J9" s="8"/>
      <c r="K9" s="8"/>
      <c r="L9" s="8"/>
      <c r="M9" s="8"/>
      <c r="N9" s="8"/>
      <c r="O9" s="9"/>
      <c r="S9" s="53" t="s">
        <v>116</v>
      </c>
      <c r="T9" s="8"/>
      <c r="U9" s="8"/>
      <c r="V9" s="8"/>
      <c r="W9" s="8"/>
      <c r="X9" s="23"/>
    </row>
    <row r="10" spans="2:24" x14ac:dyDescent="0.2">
      <c r="B10" s="3" t="s">
        <v>7</v>
      </c>
      <c r="C10" s="16">
        <f>+'Financial Model'!M68</f>
        <v>0</v>
      </c>
      <c r="D10" s="18" t="str">
        <f t="shared" si="0"/>
        <v>H123</v>
      </c>
      <c r="G10" s="6"/>
      <c r="H10" s="8"/>
      <c r="I10" s="8"/>
      <c r="J10" s="8"/>
      <c r="K10" s="8"/>
      <c r="L10" s="8"/>
      <c r="M10" s="8"/>
      <c r="N10" s="8"/>
      <c r="O10" s="9"/>
      <c r="S10" s="53"/>
      <c r="T10" s="8"/>
      <c r="U10" s="8"/>
      <c r="V10" s="8"/>
      <c r="W10" s="8"/>
      <c r="X10" s="23"/>
    </row>
    <row r="11" spans="2:24" x14ac:dyDescent="0.2">
      <c r="B11" s="3" t="s">
        <v>8</v>
      </c>
      <c r="C11" s="16">
        <f>C9-C10</f>
        <v>45.158999999999999</v>
      </c>
      <c r="D11" s="18" t="str">
        <f t="shared" si="0"/>
        <v>H123</v>
      </c>
      <c r="G11" s="6"/>
      <c r="H11" s="8"/>
      <c r="I11" s="8"/>
      <c r="J11" s="8"/>
      <c r="K11" s="8"/>
      <c r="L11" s="8"/>
      <c r="M11" s="8"/>
      <c r="N11" s="8"/>
      <c r="O11" s="9"/>
    </row>
    <row r="12" spans="2:24" x14ac:dyDescent="0.2">
      <c r="B12" s="5" t="s">
        <v>9</v>
      </c>
      <c r="C12" s="17">
        <f>C8-C11</f>
        <v>355.79100000000005</v>
      </c>
      <c r="D12" s="19"/>
      <c r="G12" s="6"/>
      <c r="H12" s="8"/>
      <c r="I12" s="8"/>
      <c r="J12" s="8"/>
      <c r="K12" s="8"/>
      <c r="L12" s="8"/>
      <c r="M12" s="8"/>
      <c r="N12" s="8"/>
      <c r="O12" s="9"/>
    </row>
    <row r="13" spans="2:24" x14ac:dyDescent="0.2">
      <c r="G13" s="6"/>
      <c r="H13" s="8"/>
      <c r="I13" s="8"/>
      <c r="J13" s="8"/>
      <c r="K13" s="8"/>
      <c r="L13" s="8"/>
      <c r="M13" s="8"/>
      <c r="N13" s="8"/>
      <c r="O13" s="9"/>
    </row>
    <row r="14" spans="2:24" x14ac:dyDescent="0.2">
      <c r="G14" s="6"/>
      <c r="H14" s="8"/>
      <c r="I14" s="8"/>
      <c r="J14" s="8"/>
      <c r="K14" s="8"/>
      <c r="L14" s="8"/>
      <c r="M14" s="8"/>
      <c r="N14" s="8"/>
      <c r="O14" s="9"/>
    </row>
    <row r="15" spans="2:24" x14ac:dyDescent="0.2">
      <c r="B15" s="85" t="s">
        <v>10</v>
      </c>
      <c r="C15" s="86"/>
      <c r="D15" s="87"/>
      <c r="G15" s="6"/>
      <c r="H15" s="8"/>
      <c r="I15" s="8"/>
      <c r="J15" s="8"/>
      <c r="K15" s="8"/>
      <c r="L15" s="8"/>
      <c r="M15" s="8"/>
      <c r="N15" s="8"/>
      <c r="O15" s="9"/>
    </row>
    <row r="16" spans="2:24" x14ac:dyDescent="0.2">
      <c r="B16" s="6" t="s">
        <v>11</v>
      </c>
      <c r="C16" s="81"/>
      <c r="D16" s="82"/>
      <c r="G16" s="6"/>
      <c r="H16" s="8"/>
      <c r="I16" s="8"/>
      <c r="J16" s="8"/>
      <c r="K16" s="8"/>
      <c r="L16" s="8"/>
      <c r="M16" s="8"/>
      <c r="N16" s="8"/>
      <c r="O16" s="9"/>
      <c r="S16" s="22" t="s">
        <v>28</v>
      </c>
    </row>
    <row r="17" spans="2:19" x14ac:dyDescent="0.2">
      <c r="B17" s="6" t="s">
        <v>12</v>
      </c>
      <c r="C17" s="81"/>
      <c r="D17" s="82"/>
      <c r="G17" s="6"/>
      <c r="H17" s="8"/>
      <c r="I17" s="8"/>
      <c r="J17" s="8"/>
      <c r="K17" s="8"/>
      <c r="L17" s="8"/>
      <c r="M17" s="8"/>
      <c r="N17" s="8"/>
      <c r="O17" s="9"/>
      <c r="S17" s="54" t="s">
        <v>117</v>
      </c>
    </row>
    <row r="18" spans="2:19" x14ac:dyDescent="0.2">
      <c r="B18" s="6" t="s">
        <v>13</v>
      </c>
      <c r="C18" s="81"/>
      <c r="D18" s="82"/>
      <c r="G18" s="6"/>
      <c r="H18" s="8"/>
      <c r="I18" s="8"/>
      <c r="J18" s="8"/>
      <c r="K18" s="8"/>
      <c r="L18" s="8"/>
      <c r="M18" s="8"/>
      <c r="N18" s="8"/>
      <c r="O18" s="9"/>
    </row>
    <row r="19" spans="2:19" x14ac:dyDescent="0.2">
      <c r="B19" s="7" t="s">
        <v>14</v>
      </c>
      <c r="C19" s="88"/>
      <c r="D19" s="89"/>
      <c r="G19" s="6"/>
      <c r="H19" s="8"/>
      <c r="I19" s="8"/>
      <c r="J19" s="8"/>
      <c r="K19" s="8"/>
      <c r="L19" s="8"/>
      <c r="M19" s="8"/>
      <c r="N19" s="8"/>
      <c r="O19" s="9"/>
      <c r="S19" s="22" t="s">
        <v>29</v>
      </c>
    </row>
    <row r="20" spans="2:19" x14ac:dyDescent="0.2">
      <c r="G20" s="6"/>
      <c r="H20" s="8"/>
      <c r="I20" s="8"/>
      <c r="J20" s="8"/>
      <c r="K20" s="8"/>
      <c r="L20" s="8"/>
      <c r="M20" s="8"/>
      <c r="N20" s="8"/>
      <c r="O20" s="9"/>
      <c r="S20" s="22"/>
    </row>
    <row r="21" spans="2:19" x14ac:dyDescent="0.2">
      <c r="G21" s="6"/>
      <c r="H21" s="8"/>
      <c r="I21" s="8"/>
      <c r="J21" s="8"/>
      <c r="K21" s="8"/>
      <c r="L21" s="8"/>
      <c r="M21" s="8"/>
      <c r="N21" s="8"/>
      <c r="O21" s="9"/>
      <c r="S21" s="22" t="s">
        <v>30</v>
      </c>
    </row>
    <row r="22" spans="2:19" x14ac:dyDescent="0.2">
      <c r="B22" s="85" t="s">
        <v>15</v>
      </c>
      <c r="C22" s="86"/>
      <c r="D22" s="87"/>
      <c r="G22" s="6"/>
      <c r="H22" s="8"/>
      <c r="I22" s="8"/>
      <c r="J22" s="8"/>
      <c r="K22" s="8"/>
      <c r="L22" s="8"/>
      <c r="M22" s="8"/>
      <c r="N22" s="8"/>
      <c r="O22" s="9"/>
      <c r="S22" s="54" t="s">
        <v>118</v>
      </c>
    </row>
    <row r="23" spans="2:19" x14ac:dyDescent="0.2">
      <c r="B23" s="6" t="s">
        <v>18</v>
      </c>
      <c r="C23" s="81" t="s">
        <v>27</v>
      </c>
      <c r="D23" s="82"/>
      <c r="G23" s="7"/>
      <c r="H23" s="10"/>
      <c r="I23" s="10"/>
      <c r="J23" s="10"/>
      <c r="K23" s="10"/>
      <c r="L23" s="10"/>
      <c r="M23" s="10"/>
      <c r="N23" s="10"/>
      <c r="O23" s="11"/>
    </row>
    <row r="24" spans="2:19" x14ac:dyDescent="0.2">
      <c r="B24" s="6" t="s">
        <v>19</v>
      </c>
      <c r="C24" s="81">
        <v>1990</v>
      </c>
      <c r="D24" s="82"/>
    </row>
    <row r="25" spans="2:19" x14ac:dyDescent="0.2">
      <c r="B25" s="6" t="s">
        <v>20</v>
      </c>
      <c r="C25" s="81">
        <v>2018</v>
      </c>
      <c r="D25" s="82"/>
      <c r="S25" s="22" t="s">
        <v>31</v>
      </c>
    </row>
    <row r="26" spans="2:19" x14ac:dyDescent="0.2">
      <c r="B26" s="6"/>
      <c r="C26" s="81"/>
      <c r="D26" s="82"/>
    </row>
    <row r="27" spans="2:19" x14ac:dyDescent="0.2">
      <c r="B27" s="6" t="s">
        <v>22</v>
      </c>
      <c r="C27" s="81">
        <v>3</v>
      </c>
      <c r="D27" s="82"/>
    </row>
    <row r="28" spans="2:19" x14ac:dyDescent="0.2">
      <c r="B28" s="6" t="s">
        <v>23</v>
      </c>
      <c r="C28" s="81"/>
      <c r="D28" s="82"/>
    </row>
    <row r="29" spans="2:19" x14ac:dyDescent="0.2">
      <c r="B29" s="6" t="s">
        <v>24</v>
      </c>
      <c r="C29" s="81"/>
      <c r="D29" s="82"/>
    </row>
    <row r="30" spans="2:19" x14ac:dyDescent="0.2">
      <c r="B30" s="6"/>
      <c r="C30" s="14"/>
      <c r="D30" s="15"/>
    </row>
    <row r="31" spans="2:19" x14ac:dyDescent="0.2">
      <c r="B31" s="6" t="s">
        <v>110</v>
      </c>
      <c r="C31" s="81">
        <f>+'Financial Model'!M29</f>
        <v>438</v>
      </c>
      <c r="D31" s="82"/>
    </row>
    <row r="32" spans="2:19" x14ac:dyDescent="0.2">
      <c r="B32" s="6"/>
      <c r="C32" s="12"/>
      <c r="D32" s="13"/>
    </row>
    <row r="33" spans="2:4" x14ac:dyDescent="0.2">
      <c r="B33" s="6" t="s">
        <v>25</v>
      </c>
      <c r="C33" s="12" t="s">
        <v>53</v>
      </c>
      <c r="D33" s="46">
        <v>45188</v>
      </c>
    </row>
    <row r="34" spans="2:4" x14ac:dyDescent="0.2">
      <c r="B34" s="7" t="s">
        <v>26</v>
      </c>
      <c r="C34" s="83" t="s">
        <v>72</v>
      </c>
      <c r="D34" s="84"/>
    </row>
    <row r="37" spans="2:4" x14ac:dyDescent="0.2">
      <c r="B37" s="85" t="s">
        <v>104</v>
      </c>
      <c r="C37" s="86"/>
      <c r="D37" s="87"/>
    </row>
    <row r="38" spans="2:4" x14ac:dyDescent="0.2">
      <c r="B38" s="6" t="s">
        <v>105</v>
      </c>
      <c r="C38" s="77">
        <f>+C6/'Financial Model'!M65</f>
        <v>1.5479168086347954</v>
      </c>
      <c r="D38" s="78"/>
    </row>
    <row r="39" spans="2:4" x14ac:dyDescent="0.2">
      <c r="B39" s="6" t="s">
        <v>106</v>
      </c>
      <c r="C39" s="77">
        <f>C8/SUM('Financial Model'!L4:M4)</f>
        <v>2.605212374027797</v>
      </c>
      <c r="D39" s="78"/>
    </row>
    <row r="40" spans="2:4" x14ac:dyDescent="0.2">
      <c r="B40" s="6" t="s">
        <v>107</v>
      </c>
      <c r="C40" s="77">
        <f>C12/SUM('Financial Model'!L4:M4)</f>
        <v>2.3117872945946476</v>
      </c>
      <c r="D40" s="78"/>
    </row>
    <row r="41" spans="2:4" x14ac:dyDescent="0.2">
      <c r="B41" s="6" t="s">
        <v>108</v>
      </c>
      <c r="C41" s="77">
        <f>C6/SUM('Financial Model'!L15:M15)</f>
        <v>19.869725992974157</v>
      </c>
      <c r="D41" s="78"/>
    </row>
    <row r="42" spans="2:4" x14ac:dyDescent="0.2">
      <c r="B42" s="7" t="s">
        <v>109</v>
      </c>
      <c r="C42" s="79">
        <f>C12/SUM('Financial Model'!L14:M14)</f>
        <v>17.983774767488896</v>
      </c>
      <c r="D42" s="80"/>
    </row>
  </sheetData>
  <mergeCells count="24">
    <mergeCell ref="S5:X5"/>
    <mergeCell ref="C27:D27"/>
    <mergeCell ref="C28:D28"/>
    <mergeCell ref="C29:D29"/>
    <mergeCell ref="B22:D22"/>
    <mergeCell ref="G5:O5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  <mergeCell ref="C19:D19"/>
    <mergeCell ref="C41:D41"/>
    <mergeCell ref="C42:D42"/>
    <mergeCell ref="C31:D31"/>
    <mergeCell ref="C34:D34"/>
    <mergeCell ref="B37:D37"/>
    <mergeCell ref="C38:D38"/>
    <mergeCell ref="C39:D39"/>
    <mergeCell ref="C40:D40"/>
  </mergeCells>
  <hyperlinks>
    <hyperlink ref="H8" r:id="rId1" display="Job losses &quot;likely&quot; at Team17, largely impacting the QA team" xr:uid="{C0067016-63D1-4360-80BC-C8070F122E37}"/>
    <hyperlink ref="C34:D34" r:id="rId2" display="Link" xr:uid="{CD2F9C52-7D42-48B8-98A7-007565B6C768}"/>
  </hyperlinks>
  <pageMargins left="0.7" right="0.7" top="0.75" bottom="0.75" header="0.3" footer="0.3"/>
  <pageSetup paperSize="125" orientation="portrait" horizontalDpi="203" verticalDpi="20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3DF7-8583-47D8-828F-59897175578C}">
  <dimension ref="B1:AG79"/>
  <sheetViews>
    <sheetView tabSelected="1"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U64" sqref="T64:U69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3" width="9.140625" style="1"/>
    <col min="4" max="4" width="9.140625" style="27"/>
    <col min="5" max="5" width="9.140625" style="1"/>
    <col min="6" max="6" width="9.140625" style="27"/>
    <col min="7" max="7" width="9.140625" style="1"/>
    <col min="8" max="8" width="9.140625" style="27"/>
    <col min="9" max="9" width="9.140625" style="1"/>
    <col min="10" max="10" width="9.140625" style="27"/>
    <col min="11" max="11" width="9.140625" style="1"/>
    <col min="12" max="12" width="9.140625" style="27"/>
    <col min="13" max="13" width="9.140625" style="1"/>
    <col min="14" max="14" width="9.140625" style="66"/>
    <col min="15" max="22" width="9.140625" style="1"/>
    <col min="23" max="23" width="9.140625" style="66"/>
    <col min="24" max="16384" width="9.140625" style="1"/>
  </cols>
  <sheetData>
    <row r="1" spans="2:33" s="24" customFormat="1" x14ac:dyDescent="0.2">
      <c r="C1" s="24" t="s">
        <v>48</v>
      </c>
      <c r="D1" s="26" t="s">
        <v>54</v>
      </c>
      <c r="E1" s="29" t="s">
        <v>49</v>
      </c>
      <c r="F1" s="26" t="s">
        <v>55</v>
      </c>
      <c r="G1" s="24" t="s">
        <v>50</v>
      </c>
      <c r="H1" s="26" t="s">
        <v>56</v>
      </c>
      <c r="I1" s="29" t="s">
        <v>51</v>
      </c>
      <c r="J1" s="26" t="s">
        <v>57</v>
      </c>
      <c r="K1" s="24" t="s">
        <v>52</v>
      </c>
      <c r="L1" s="26" t="s">
        <v>58</v>
      </c>
      <c r="M1" s="29" t="s">
        <v>53</v>
      </c>
      <c r="N1" s="67" t="s">
        <v>59</v>
      </c>
      <c r="R1" s="24" t="s">
        <v>32</v>
      </c>
      <c r="S1" s="29" t="s">
        <v>33</v>
      </c>
      <c r="T1" s="29" t="s">
        <v>34</v>
      </c>
      <c r="U1" s="24" t="s">
        <v>35</v>
      </c>
      <c r="V1" s="29" t="s">
        <v>36</v>
      </c>
      <c r="W1" s="67" t="s">
        <v>37</v>
      </c>
      <c r="X1" s="24" t="s">
        <v>38</v>
      </c>
      <c r="Y1" s="24" t="s">
        <v>39</v>
      </c>
      <c r="Z1" s="24" t="s">
        <v>40</v>
      </c>
      <c r="AA1" s="24" t="s">
        <v>41</v>
      </c>
      <c r="AB1" s="24" t="s">
        <v>42</v>
      </c>
      <c r="AC1" s="24" t="s">
        <v>43</v>
      </c>
      <c r="AD1" s="24" t="s">
        <v>44</v>
      </c>
      <c r="AE1" s="24" t="s">
        <v>45</v>
      </c>
      <c r="AF1" s="24" t="s">
        <v>46</v>
      </c>
      <c r="AG1" s="24" t="s">
        <v>47</v>
      </c>
    </row>
    <row r="2" spans="2:33" s="30" customFormat="1" x14ac:dyDescent="0.2">
      <c r="B2" s="25"/>
      <c r="C2" s="33">
        <v>43281</v>
      </c>
      <c r="D2" s="61">
        <f>R2</f>
        <v>43465</v>
      </c>
      <c r="E2" s="33">
        <v>43646</v>
      </c>
      <c r="F2" s="61">
        <f>S2</f>
        <v>43830</v>
      </c>
      <c r="G2" s="33">
        <v>44012</v>
      </c>
      <c r="H2" s="61">
        <f>T2</f>
        <v>44196</v>
      </c>
      <c r="I2" s="33">
        <v>44377</v>
      </c>
      <c r="J2" s="61">
        <f>U2</f>
        <v>44561</v>
      </c>
      <c r="K2" s="33">
        <v>44742</v>
      </c>
      <c r="L2" s="31" t="str">
        <f>V2</f>
        <v>31/12//2022</v>
      </c>
      <c r="M2" s="33">
        <v>45107</v>
      </c>
      <c r="N2" s="68" t="s">
        <v>125</v>
      </c>
      <c r="R2" s="33">
        <v>43465</v>
      </c>
      <c r="S2" s="33">
        <v>43830</v>
      </c>
      <c r="T2" s="33">
        <v>44196</v>
      </c>
      <c r="U2" s="33">
        <v>44561</v>
      </c>
      <c r="V2" s="30" t="s">
        <v>122</v>
      </c>
      <c r="W2" s="68" t="str">
        <f>N2</f>
        <v>(EST.)</v>
      </c>
    </row>
    <row r="3" spans="2:33" s="30" customFormat="1" x14ac:dyDescent="0.2">
      <c r="B3" s="25"/>
      <c r="D3" s="31"/>
      <c r="E3" s="32">
        <v>45179</v>
      </c>
      <c r="F3" s="62">
        <f>S3</f>
        <v>44995</v>
      </c>
      <c r="H3" s="62">
        <f>T3</f>
        <v>45001</v>
      </c>
      <c r="I3" s="32">
        <v>45183</v>
      </c>
      <c r="J3" s="31"/>
      <c r="L3" s="62">
        <f>V3</f>
        <v>45013</v>
      </c>
      <c r="M3" s="32">
        <v>45188</v>
      </c>
      <c r="N3" s="68"/>
      <c r="S3" s="32">
        <v>44995</v>
      </c>
      <c r="T3" s="32">
        <v>45001</v>
      </c>
      <c r="V3" s="32">
        <v>45013</v>
      </c>
      <c r="W3" s="68"/>
    </row>
    <row r="4" spans="2:33" s="34" customFormat="1" x14ac:dyDescent="0.2">
      <c r="B4" s="34" t="s">
        <v>63</v>
      </c>
      <c r="C4" s="34">
        <v>15.439</v>
      </c>
      <c r="D4" s="35">
        <f>R4-C4</f>
        <v>27.762</v>
      </c>
      <c r="E4" s="34">
        <v>30.396000000000001</v>
      </c>
      <c r="F4" s="35">
        <f>S4-E4</f>
        <v>31.397999999999996</v>
      </c>
      <c r="G4" s="34">
        <v>38.777000000000001</v>
      </c>
      <c r="H4" s="35">
        <f>T4-G4</f>
        <v>44.191999999999993</v>
      </c>
      <c r="I4" s="34">
        <v>40.11</v>
      </c>
      <c r="J4" s="35">
        <f>U4-I4</f>
        <v>50.399000000000001</v>
      </c>
      <c r="K4" s="34">
        <v>53.249000000000002</v>
      </c>
      <c r="L4" s="35">
        <f>V4-K4</f>
        <v>84.194999999999993</v>
      </c>
      <c r="M4" s="34">
        <v>69.707999999999998</v>
      </c>
      <c r="N4" s="69">
        <f>M4*(1+N18)</f>
        <v>90.620400000000004</v>
      </c>
      <c r="R4" s="34">
        <v>43.201000000000001</v>
      </c>
      <c r="S4" s="34">
        <v>61.793999999999997</v>
      </c>
      <c r="T4" s="34">
        <v>82.968999999999994</v>
      </c>
      <c r="U4" s="34">
        <v>90.509</v>
      </c>
      <c r="V4" s="34">
        <v>137.44399999999999</v>
      </c>
      <c r="W4" s="69">
        <f>SUM(M4:N4)</f>
        <v>160.32839999999999</v>
      </c>
    </row>
    <row r="5" spans="2:33" s="36" customFormat="1" x14ac:dyDescent="0.2">
      <c r="B5" s="36" t="s">
        <v>64</v>
      </c>
      <c r="C5" s="36">
        <v>8.5790000000000006</v>
      </c>
      <c r="D5" s="37">
        <f>R5-C5</f>
        <v>14.82</v>
      </c>
      <c r="E5" s="36">
        <v>15.263</v>
      </c>
      <c r="F5" s="37">
        <f>S5-E5</f>
        <v>16.994</v>
      </c>
      <c r="G5" s="36">
        <v>20.445</v>
      </c>
      <c r="H5" s="37">
        <f>T5-G5</f>
        <v>23.378</v>
      </c>
      <c r="I5" s="36">
        <v>19.920999999999999</v>
      </c>
      <c r="J5" s="37">
        <f>U5-I5</f>
        <v>25.067999999999998</v>
      </c>
      <c r="K5" s="36">
        <v>27.704999999999998</v>
      </c>
      <c r="L5" s="37">
        <f>V5-K5</f>
        <v>40.123000000000005</v>
      </c>
      <c r="M5" s="36">
        <v>39.500999999999998</v>
      </c>
      <c r="N5" s="70">
        <f>N4*(1-N21)</f>
        <v>49.841220000000007</v>
      </c>
      <c r="R5" s="36">
        <v>23.399000000000001</v>
      </c>
      <c r="S5" s="36">
        <v>32.256999999999998</v>
      </c>
      <c r="T5" s="36">
        <v>43.823</v>
      </c>
      <c r="U5" s="36">
        <v>44.988999999999997</v>
      </c>
      <c r="V5" s="36">
        <v>67.828000000000003</v>
      </c>
      <c r="W5" s="70">
        <f>SUM(M5:N5)</f>
        <v>89.342219999999998</v>
      </c>
    </row>
    <row r="6" spans="2:33" s="34" customFormat="1" x14ac:dyDescent="0.2">
      <c r="B6" s="34" t="s">
        <v>65</v>
      </c>
      <c r="C6" s="34">
        <f t="shared" ref="C6:N6" si="0">C4-C5</f>
        <v>6.8599999999999994</v>
      </c>
      <c r="D6" s="35">
        <f t="shared" si="0"/>
        <v>12.942</v>
      </c>
      <c r="E6" s="34">
        <f t="shared" si="0"/>
        <v>15.133000000000001</v>
      </c>
      <c r="F6" s="35">
        <f t="shared" si="0"/>
        <v>14.403999999999996</v>
      </c>
      <c r="G6" s="34">
        <f t="shared" si="0"/>
        <v>18.332000000000001</v>
      </c>
      <c r="H6" s="35">
        <f t="shared" si="0"/>
        <v>20.813999999999993</v>
      </c>
      <c r="I6" s="34">
        <f t="shared" si="0"/>
        <v>20.189</v>
      </c>
      <c r="J6" s="35">
        <f t="shared" si="0"/>
        <v>25.331000000000003</v>
      </c>
      <c r="K6" s="34">
        <f t="shared" si="0"/>
        <v>25.544000000000004</v>
      </c>
      <c r="L6" s="35">
        <f t="shared" si="0"/>
        <v>44.071999999999989</v>
      </c>
      <c r="M6" s="34">
        <f t="shared" si="0"/>
        <v>30.207000000000001</v>
      </c>
      <c r="N6" s="69">
        <f t="shared" si="0"/>
        <v>40.779179999999997</v>
      </c>
      <c r="R6" s="34">
        <f t="shared" ref="R6" si="1">R4-R5</f>
        <v>19.802</v>
      </c>
      <c r="S6" s="34">
        <f t="shared" ref="S6" si="2">S4-S5</f>
        <v>29.536999999999999</v>
      </c>
      <c r="T6" s="34">
        <f t="shared" ref="T6" si="3">T4-T5</f>
        <v>39.145999999999994</v>
      </c>
      <c r="U6" s="34">
        <f t="shared" ref="U6:V6" si="4">U4-U5</f>
        <v>45.52</v>
      </c>
      <c r="V6" s="34">
        <f t="shared" si="4"/>
        <v>69.615999999999985</v>
      </c>
      <c r="W6" s="69">
        <f>W4-W5</f>
        <v>70.98617999999999</v>
      </c>
    </row>
    <row r="7" spans="2:33" s="36" customFormat="1" x14ac:dyDescent="0.2">
      <c r="B7" s="36" t="s">
        <v>73</v>
      </c>
      <c r="C7" s="36">
        <v>2.984</v>
      </c>
      <c r="D7" s="37">
        <f t="shared" ref="D7:D13" si="5">R7-C7</f>
        <v>4.28</v>
      </c>
      <c r="E7" s="36">
        <v>4.859</v>
      </c>
      <c r="F7" s="37">
        <f t="shared" ref="F7:F13" si="6">S7-E7</f>
        <v>5.7219999999999995</v>
      </c>
      <c r="G7" s="36">
        <v>5.0570000000000004</v>
      </c>
      <c r="H7" s="37">
        <f t="shared" ref="H7:H13" si="7">T7-G7</f>
        <v>7.9219999999999988</v>
      </c>
      <c r="I7" s="36">
        <v>6.1879999999999997</v>
      </c>
      <c r="J7" s="37">
        <f t="shared" ref="J7:J8" si="8">U7-I7</f>
        <v>10.089000000000002</v>
      </c>
      <c r="K7" s="36">
        <v>13.638999999999999</v>
      </c>
      <c r="L7" s="37">
        <f t="shared" ref="L7:L13" si="9">V7-K7</f>
        <v>24.180000000000003</v>
      </c>
      <c r="M7" s="36">
        <v>21.678000000000001</v>
      </c>
      <c r="N7" s="70">
        <f>N4*0.3</f>
        <v>27.186119999999999</v>
      </c>
      <c r="R7" s="36">
        <v>7.2640000000000002</v>
      </c>
      <c r="S7" s="36">
        <v>10.581</v>
      </c>
      <c r="T7" s="36">
        <v>12.978999999999999</v>
      </c>
      <c r="U7" s="36">
        <v>16.277000000000001</v>
      </c>
      <c r="V7" s="36">
        <v>37.819000000000003</v>
      </c>
      <c r="W7" s="70"/>
    </row>
    <row r="8" spans="2:33" s="36" customFormat="1" x14ac:dyDescent="0.2">
      <c r="B8" s="36" t="s">
        <v>74</v>
      </c>
      <c r="C8" s="36">
        <v>-2.552</v>
      </c>
      <c r="D8" s="37">
        <f t="shared" si="5"/>
        <v>-4.4999999999999929E-2</v>
      </c>
      <c r="E8" s="36">
        <v>0</v>
      </c>
      <c r="F8" s="37">
        <f t="shared" si="6"/>
        <v>0</v>
      </c>
      <c r="G8" s="36">
        <v>0</v>
      </c>
      <c r="H8" s="37">
        <f t="shared" si="7"/>
        <v>0</v>
      </c>
      <c r="I8" s="36">
        <v>0</v>
      </c>
      <c r="J8" s="37">
        <f t="shared" si="8"/>
        <v>0</v>
      </c>
      <c r="K8" s="36">
        <v>0.25700000000000001</v>
      </c>
      <c r="L8" s="37">
        <f t="shared" si="9"/>
        <v>0.21199999999999997</v>
      </c>
      <c r="M8" s="36">
        <v>2E-3</v>
      </c>
      <c r="N8" s="70">
        <f>AVERAGE(J8:M8)</f>
        <v>0.11774999999999999</v>
      </c>
      <c r="R8" s="36">
        <v>-2.597</v>
      </c>
      <c r="S8" s="36">
        <v>0</v>
      </c>
      <c r="T8" s="36">
        <v>0</v>
      </c>
      <c r="U8" s="36">
        <v>0</v>
      </c>
      <c r="V8" s="36">
        <v>0.46899999999999997</v>
      </c>
      <c r="W8" s="70"/>
    </row>
    <row r="9" spans="2:33" s="34" customFormat="1" x14ac:dyDescent="0.2">
      <c r="B9" s="34" t="s">
        <v>75</v>
      </c>
      <c r="C9" s="34">
        <f t="shared" ref="C9:M9" si="10">C6-C7+C8</f>
        <v>1.3239999999999994</v>
      </c>
      <c r="D9" s="35">
        <f t="shared" si="10"/>
        <v>8.6169999999999991</v>
      </c>
      <c r="E9" s="34">
        <f t="shared" si="10"/>
        <v>10.274000000000001</v>
      </c>
      <c r="F9" s="35">
        <f t="shared" si="10"/>
        <v>8.6819999999999968</v>
      </c>
      <c r="G9" s="34">
        <f t="shared" si="10"/>
        <v>13.275</v>
      </c>
      <c r="H9" s="35">
        <f t="shared" si="10"/>
        <v>12.891999999999994</v>
      </c>
      <c r="I9" s="34">
        <f t="shared" si="10"/>
        <v>14.001000000000001</v>
      </c>
      <c r="J9" s="35">
        <f t="shared" si="10"/>
        <v>15.242000000000001</v>
      </c>
      <c r="K9" s="34">
        <f t="shared" si="10"/>
        <v>12.162000000000004</v>
      </c>
      <c r="L9" s="35">
        <f t="shared" si="10"/>
        <v>20.103999999999985</v>
      </c>
      <c r="M9" s="34">
        <f t="shared" si="10"/>
        <v>8.5310000000000006</v>
      </c>
      <c r="N9" s="69">
        <f>N6-N7+N8</f>
        <v>13.710809999999997</v>
      </c>
      <c r="R9" s="34">
        <f t="shared" ref="R9" si="11">R6-R7+R8</f>
        <v>9.9410000000000007</v>
      </c>
      <c r="S9" s="34">
        <f t="shared" ref="S9" si="12">S6-S7+S8</f>
        <v>18.956</v>
      </c>
      <c r="T9" s="34">
        <f t="shared" ref="T9" si="13">T6-T7+T8</f>
        <v>26.166999999999994</v>
      </c>
      <c r="U9" s="34">
        <f t="shared" ref="U9:V9" si="14">U6-U7+U8</f>
        <v>29.243000000000002</v>
      </c>
      <c r="V9" s="34">
        <f t="shared" si="14"/>
        <v>32.265999999999984</v>
      </c>
      <c r="W9" s="69"/>
    </row>
    <row r="10" spans="2:33" s="36" customFormat="1" x14ac:dyDescent="0.2">
      <c r="B10" s="36" t="s">
        <v>76</v>
      </c>
      <c r="C10" s="36">
        <v>0.03</v>
      </c>
      <c r="D10" s="37">
        <f t="shared" si="5"/>
        <v>4.9000000000000002E-2</v>
      </c>
      <c r="E10" s="36">
        <v>8.5999999999999993E-2</v>
      </c>
      <c r="F10" s="37">
        <f t="shared" si="6"/>
        <v>0.14600000000000002</v>
      </c>
      <c r="G10" s="36">
        <v>8.1000000000000003E-2</v>
      </c>
      <c r="H10" s="37">
        <f t="shared" si="7"/>
        <v>3.1E-2</v>
      </c>
      <c r="I10" s="36">
        <v>7.0000000000000001E-3</v>
      </c>
      <c r="J10" s="37">
        <f t="shared" ref="J10:J11" si="15">U10-I10</f>
        <v>3.0000000000000001E-3</v>
      </c>
      <c r="K10" s="36">
        <v>7.0000000000000001E-3</v>
      </c>
      <c r="L10" s="37">
        <f t="shared" si="9"/>
        <v>2.7000000000000003E-2</v>
      </c>
      <c r="M10" s="36">
        <v>3.5999999999999997E-2</v>
      </c>
      <c r="N10" s="70">
        <f t="shared" ref="N10:N11" si="16">AVERAGE(J10:M10)</f>
        <v>1.8250000000000002E-2</v>
      </c>
      <c r="R10" s="36">
        <v>7.9000000000000001E-2</v>
      </c>
      <c r="S10" s="36">
        <v>0.23200000000000001</v>
      </c>
      <c r="T10" s="36">
        <v>0.112</v>
      </c>
      <c r="U10" s="36">
        <v>0.01</v>
      </c>
      <c r="V10" s="36">
        <v>3.4000000000000002E-2</v>
      </c>
      <c r="W10" s="70"/>
    </row>
    <row r="11" spans="2:33" s="36" customFormat="1" x14ac:dyDescent="0.2">
      <c r="B11" s="36" t="s">
        <v>77</v>
      </c>
      <c r="C11" s="36">
        <v>1.323</v>
      </c>
      <c r="D11" s="37">
        <f t="shared" si="5"/>
        <v>0</v>
      </c>
      <c r="E11" s="36">
        <v>4.0000000000000001E-3</v>
      </c>
      <c r="F11" s="37">
        <f t="shared" si="6"/>
        <v>1.3999999999999999E-2</v>
      </c>
      <c r="G11" s="36">
        <v>2.1999999999999999E-2</v>
      </c>
      <c r="H11" s="37">
        <f t="shared" si="7"/>
        <v>2.0999999999999998E-2</v>
      </c>
      <c r="I11" s="36">
        <v>0.02</v>
      </c>
      <c r="J11" s="37">
        <f t="shared" si="15"/>
        <v>0.12399999999999999</v>
      </c>
      <c r="K11" s="36">
        <v>1</v>
      </c>
      <c r="L11" s="37">
        <f t="shared" si="9"/>
        <v>2.9820000000000002</v>
      </c>
      <c r="M11" s="36">
        <v>0.46100000000000002</v>
      </c>
      <c r="N11" s="70">
        <f t="shared" si="16"/>
        <v>1.14175</v>
      </c>
      <c r="R11" s="36">
        <v>1.323</v>
      </c>
      <c r="S11" s="36">
        <v>1.7999999999999999E-2</v>
      </c>
      <c r="T11" s="36">
        <v>4.2999999999999997E-2</v>
      </c>
      <c r="U11" s="36">
        <v>0.14399999999999999</v>
      </c>
      <c r="V11" s="36">
        <v>3.9820000000000002</v>
      </c>
      <c r="W11" s="70"/>
    </row>
    <row r="12" spans="2:33" x14ac:dyDescent="0.2">
      <c r="B12" s="1" t="s">
        <v>78</v>
      </c>
      <c r="C12" s="36">
        <f>+C9+C10-C11</f>
        <v>3.0999999999999472E-2</v>
      </c>
      <c r="D12" s="37">
        <f>D9+D10-D11</f>
        <v>8.6659999999999986</v>
      </c>
      <c r="E12" s="36">
        <f>+E9+E10-E11</f>
        <v>10.356000000000002</v>
      </c>
      <c r="F12" s="37">
        <f>F9+F10-F11</f>
        <v>8.8139999999999983</v>
      </c>
      <c r="G12" s="36">
        <f>+G9+G10-G11</f>
        <v>13.334</v>
      </c>
      <c r="H12" s="37">
        <f>H9+H10-H11</f>
        <v>12.901999999999994</v>
      </c>
      <c r="I12" s="36">
        <f>+I9+I10-I11</f>
        <v>13.988000000000001</v>
      </c>
      <c r="J12" s="37">
        <f>J9+J10-J11</f>
        <v>15.121</v>
      </c>
      <c r="K12" s="36">
        <f>+K9+K10-K11</f>
        <v>11.169000000000004</v>
      </c>
      <c r="L12" s="37">
        <f>L9+L10-L11</f>
        <v>17.148999999999987</v>
      </c>
      <c r="M12" s="36">
        <f>+M9+M10-M11</f>
        <v>8.1059999999999999</v>
      </c>
      <c r="N12" s="70">
        <f>N9+N10-N11</f>
        <v>12.587309999999997</v>
      </c>
      <c r="R12" s="36">
        <f t="shared" ref="R12" si="17">+R9+R10-R11</f>
        <v>8.697000000000001</v>
      </c>
      <c r="S12" s="36">
        <f t="shared" ref="S12" si="18">+S9+S10-S11</f>
        <v>19.169999999999998</v>
      </c>
      <c r="T12" s="36">
        <f t="shared" ref="T12" si="19">+T9+T10-T11</f>
        <v>26.235999999999994</v>
      </c>
      <c r="U12" s="36">
        <f t="shared" ref="U12:V12" si="20">+U9+U10-U11</f>
        <v>29.109000000000005</v>
      </c>
      <c r="V12" s="36">
        <f t="shared" si="20"/>
        <v>28.317999999999984</v>
      </c>
    </row>
    <row r="13" spans="2:33" s="36" customFormat="1" x14ac:dyDescent="0.2">
      <c r="B13" s="36" t="s">
        <v>79</v>
      </c>
      <c r="C13" s="36">
        <v>0.47899999999999998</v>
      </c>
      <c r="D13" s="37">
        <f t="shared" si="5"/>
        <v>1.0150000000000001</v>
      </c>
      <c r="E13" s="36">
        <v>1.58</v>
      </c>
      <c r="F13" s="37">
        <f t="shared" si="6"/>
        <v>0.97100000000000009</v>
      </c>
      <c r="G13" s="36">
        <v>2.3170000000000002</v>
      </c>
      <c r="H13" s="37">
        <f t="shared" si="7"/>
        <v>1.9749999999999996</v>
      </c>
      <c r="I13" s="36">
        <v>2.8079999999999998</v>
      </c>
      <c r="J13" s="37">
        <f>U13-I13</f>
        <v>2.5620000000000003</v>
      </c>
      <c r="K13" s="36">
        <v>2.262</v>
      </c>
      <c r="L13" s="37">
        <f t="shared" si="9"/>
        <v>2.9250000000000003</v>
      </c>
      <c r="M13" s="36">
        <v>2.5459999999999998</v>
      </c>
      <c r="N13" s="70">
        <f>N12*0.2</f>
        <v>2.5174619999999996</v>
      </c>
      <c r="R13" s="36">
        <v>1.494</v>
      </c>
      <c r="S13" s="36">
        <v>2.5510000000000002</v>
      </c>
      <c r="T13" s="36">
        <v>4.2919999999999998</v>
      </c>
      <c r="U13" s="36">
        <v>5.37</v>
      </c>
      <c r="V13" s="36">
        <v>5.1870000000000003</v>
      </c>
      <c r="W13" s="70"/>
    </row>
    <row r="14" spans="2:33" s="2" customFormat="1" x14ac:dyDescent="0.2">
      <c r="B14" s="2" t="s">
        <v>80</v>
      </c>
      <c r="C14" s="34">
        <f>+C12-C13</f>
        <v>-0.44800000000000051</v>
      </c>
      <c r="D14" s="35">
        <f>D12-D13</f>
        <v>7.650999999999998</v>
      </c>
      <c r="E14" s="34">
        <f>+E12-E13</f>
        <v>8.7760000000000016</v>
      </c>
      <c r="F14" s="35">
        <f>F12-F13</f>
        <v>7.8429999999999982</v>
      </c>
      <c r="G14" s="34">
        <f>+G12-G13</f>
        <v>11.016999999999999</v>
      </c>
      <c r="H14" s="35">
        <f>H12-H13</f>
        <v>10.926999999999994</v>
      </c>
      <c r="I14" s="34">
        <f>+I12-I13</f>
        <v>11.180000000000001</v>
      </c>
      <c r="J14" s="35">
        <f>J12-J13</f>
        <v>12.559000000000001</v>
      </c>
      <c r="K14" s="34">
        <f>+K12-K13</f>
        <v>8.9070000000000036</v>
      </c>
      <c r="L14" s="35">
        <f>L12-L13</f>
        <v>14.223999999999986</v>
      </c>
      <c r="M14" s="34">
        <f>+M12-M13</f>
        <v>5.5600000000000005</v>
      </c>
      <c r="N14" s="69">
        <f>N12-N13</f>
        <v>10.069847999999997</v>
      </c>
      <c r="R14" s="34">
        <f t="shared" ref="R14" si="21">+R12-R13</f>
        <v>7.2030000000000012</v>
      </c>
      <c r="S14" s="34">
        <f t="shared" ref="S14" si="22">+S12-S13</f>
        <v>16.619</v>
      </c>
      <c r="T14" s="34">
        <f t="shared" ref="T14" si="23">+T12-T13</f>
        <v>21.943999999999996</v>
      </c>
      <c r="U14" s="34">
        <f t="shared" ref="U14:V14" si="24">+U12-U13</f>
        <v>23.739000000000004</v>
      </c>
      <c r="V14" s="34">
        <f t="shared" si="24"/>
        <v>23.130999999999982</v>
      </c>
      <c r="W14" s="71"/>
    </row>
    <row r="15" spans="2:33" s="44" customFormat="1" x14ac:dyDescent="0.2">
      <c r="B15" s="44" t="s">
        <v>81</v>
      </c>
      <c r="C15" s="44">
        <f t="shared" ref="C15:M15" si="25">C14/C16</f>
        <v>-4.1757221037552715E-3</v>
      </c>
      <c r="D15" s="45">
        <f t="shared" si="25"/>
        <v>6.4643490180019303E-2</v>
      </c>
      <c r="E15" s="44">
        <f t="shared" si="25"/>
        <v>6.7901320440830609E-2</v>
      </c>
      <c r="F15" s="45">
        <f t="shared" si="25"/>
        <v>6.0682549705724044E-2</v>
      </c>
      <c r="G15" s="44">
        <f t="shared" si="25"/>
        <v>8.5165178315568052E-2</v>
      </c>
      <c r="H15" s="45">
        <f t="shared" si="25"/>
        <v>8.444464623299941E-2</v>
      </c>
      <c r="I15" s="44">
        <f t="shared" si="25"/>
        <v>8.6377851272606901E-2</v>
      </c>
      <c r="J15" s="45">
        <f t="shared" si="25"/>
        <v>9.6605578874874462E-2</v>
      </c>
      <c r="K15" s="44">
        <f t="shared" si="25"/>
        <v>6.4719467846264672E-2</v>
      </c>
      <c r="L15" s="45">
        <f t="shared" si="25"/>
        <v>9.9716495711366857E-2</v>
      </c>
      <c r="M15" s="44">
        <f t="shared" si="25"/>
        <v>3.8685010226479868E-2</v>
      </c>
      <c r="N15" s="72">
        <f>N14/N16</f>
        <v>7.0063340442283753E-2</v>
      </c>
      <c r="R15" s="44">
        <f t="shared" ref="R15:V15" si="26">R14/R16</f>
        <v>6.0858326985580871E-2</v>
      </c>
      <c r="S15" s="44">
        <f t="shared" si="26"/>
        <v>0.12858387014655465</v>
      </c>
      <c r="T15" s="44">
        <f t="shared" si="26"/>
        <v>0.16958481897473596</v>
      </c>
      <c r="U15" s="44">
        <f t="shared" si="26"/>
        <v>0.18260369750064853</v>
      </c>
      <c r="V15" s="44">
        <f t="shared" si="26"/>
        <v>0.16215848300756658</v>
      </c>
      <c r="W15" s="72"/>
    </row>
    <row r="16" spans="2:33" s="42" customFormat="1" x14ac:dyDescent="0.2">
      <c r="B16" s="42" t="s">
        <v>4</v>
      </c>
      <c r="C16" s="42">
        <v>107.286833</v>
      </c>
      <c r="D16" s="43">
        <f>R16</f>
        <v>118.356852</v>
      </c>
      <c r="E16" s="42">
        <v>129.24638200000001</v>
      </c>
      <c r="F16" s="43">
        <f>S16</f>
        <v>129.24638200000001</v>
      </c>
      <c r="G16" s="42">
        <v>129.36038199999999</v>
      </c>
      <c r="H16" s="43">
        <f>T16</f>
        <v>129.39837499999999</v>
      </c>
      <c r="I16" s="42">
        <v>129.43132800000001</v>
      </c>
      <c r="J16" s="43">
        <f>U16</f>
        <v>130.00284400000001</v>
      </c>
      <c r="K16" s="42">
        <v>137.624741</v>
      </c>
      <c r="L16" s="43">
        <f>V16</f>
        <v>142.64440300000001</v>
      </c>
      <c r="M16" s="42">
        <v>143.72492</v>
      </c>
      <c r="N16" s="73">
        <f>M16</f>
        <v>143.72492</v>
      </c>
      <c r="R16" s="42">
        <v>118.356852</v>
      </c>
      <c r="S16" s="42">
        <v>129.24638200000001</v>
      </c>
      <c r="T16" s="42">
        <v>129.39837499999999</v>
      </c>
      <c r="U16" s="42">
        <v>130.00284400000001</v>
      </c>
      <c r="V16" s="42">
        <v>142.64440300000001</v>
      </c>
      <c r="W16" s="73"/>
    </row>
    <row r="18" spans="2:23" s="38" customFormat="1" x14ac:dyDescent="0.2">
      <c r="B18" s="38" t="s">
        <v>70</v>
      </c>
      <c r="C18" s="56" t="s">
        <v>121</v>
      </c>
      <c r="D18" s="57" t="s">
        <v>121</v>
      </c>
      <c r="E18" s="38">
        <f t="shared" ref="E18:M18" si="27">E4/C4-1</f>
        <v>0.96878036142237201</v>
      </c>
      <c r="F18" s="39">
        <f t="shared" si="27"/>
        <v>0.13097039118219134</v>
      </c>
      <c r="G18" s="38">
        <f t="shared" si="27"/>
        <v>0.27572706935123037</v>
      </c>
      <c r="H18" s="39">
        <f t="shared" si="27"/>
        <v>0.40747818332377861</v>
      </c>
      <c r="I18" s="38">
        <f t="shared" si="27"/>
        <v>3.4376047657116215E-2</v>
      </c>
      <c r="J18" s="39">
        <f t="shared" si="27"/>
        <v>0.14045528602461999</v>
      </c>
      <c r="K18" s="38">
        <f t="shared" si="27"/>
        <v>0.32757417102966846</v>
      </c>
      <c r="L18" s="39">
        <f t="shared" si="27"/>
        <v>0.67056886049326359</v>
      </c>
      <c r="M18" s="38">
        <f t="shared" si="27"/>
        <v>0.30909500647899479</v>
      </c>
      <c r="N18" s="74">
        <v>0.3</v>
      </c>
      <c r="R18" s="56" t="s">
        <v>121</v>
      </c>
      <c r="S18" s="38">
        <f>S4/R4-1</f>
        <v>0.43038355593620503</v>
      </c>
      <c r="T18" s="38">
        <f t="shared" ref="T18:U18" si="28">T4/S4-1</f>
        <v>0.34267080946370188</v>
      </c>
      <c r="U18" s="38">
        <f t="shared" si="28"/>
        <v>9.0877315623907773E-2</v>
      </c>
      <c r="V18" s="38">
        <f>V4/U4-1</f>
        <v>0.51856721431017894</v>
      </c>
      <c r="W18" s="74">
        <f t="shared" ref="W18" si="29">W4/V4-1</f>
        <v>0.1664998108320479</v>
      </c>
    </row>
    <row r="19" spans="2:23" s="40" customFormat="1" x14ac:dyDescent="0.2">
      <c r="B19" s="40" t="s">
        <v>71</v>
      </c>
      <c r="C19" s="65" t="s">
        <v>121</v>
      </c>
      <c r="D19" s="41">
        <f t="shared" ref="D19:M19" si="30">D4/C4-1</f>
        <v>0.79817345683010554</v>
      </c>
      <c r="E19" s="40">
        <f t="shared" si="30"/>
        <v>9.4877890641884566E-2</v>
      </c>
      <c r="F19" s="41">
        <f t="shared" si="30"/>
        <v>3.2964863797867894E-2</v>
      </c>
      <c r="G19" s="40">
        <f t="shared" si="30"/>
        <v>0.23501496910631259</v>
      </c>
      <c r="H19" s="41">
        <f t="shared" si="30"/>
        <v>0.13964463470613997</v>
      </c>
      <c r="I19" s="40">
        <f t="shared" si="30"/>
        <v>-9.2369659666907911E-2</v>
      </c>
      <c r="J19" s="41">
        <f t="shared" si="30"/>
        <v>0.25651957117925717</v>
      </c>
      <c r="K19" s="40">
        <f t="shared" si="30"/>
        <v>5.6548741046449358E-2</v>
      </c>
      <c r="L19" s="41">
        <f t="shared" si="30"/>
        <v>0.58115645364232171</v>
      </c>
      <c r="M19" s="40">
        <f t="shared" si="30"/>
        <v>-0.17206484945661848</v>
      </c>
      <c r="N19" s="75"/>
      <c r="R19" s="65" t="s">
        <v>121</v>
      </c>
      <c r="S19" s="65" t="s">
        <v>121</v>
      </c>
      <c r="T19" s="65" t="s">
        <v>121</v>
      </c>
      <c r="U19" s="65" t="s">
        <v>121</v>
      </c>
      <c r="V19" s="65" t="s">
        <v>121</v>
      </c>
      <c r="W19" s="75"/>
    </row>
    <row r="21" spans="2:23" s="40" customFormat="1" x14ac:dyDescent="0.2">
      <c r="B21" s="40" t="s">
        <v>66</v>
      </c>
      <c r="C21" s="40">
        <f t="shared" ref="C21:M21" si="31">C6/C4</f>
        <v>0.44432929593885612</v>
      </c>
      <c r="D21" s="41">
        <f t="shared" si="31"/>
        <v>0.46617678841582016</v>
      </c>
      <c r="E21" s="40">
        <f t="shared" si="31"/>
        <v>0.49786156073167526</v>
      </c>
      <c r="F21" s="41">
        <f t="shared" si="31"/>
        <v>0.45875533473469643</v>
      </c>
      <c r="G21" s="40">
        <f t="shared" si="31"/>
        <v>0.47275446785465614</v>
      </c>
      <c r="H21" s="41">
        <f t="shared" si="31"/>
        <v>0.47099022447501804</v>
      </c>
      <c r="I21" s="40">
        <f t="shared" si="31"/>
        <v>0.50334081276489651</v>
      </c>
      <c r="J21" s="41">
        <f t="shared" si="31"/>
        <v>0.50260917875354671</v>
      </c>
      <c r="K21" s="40">
        <f t="shared" si="31"/>
        <v>0.47970853912749539</v>
      </c>
      <c r="L21" s="41">
        <f t="shared" si="31"/>
        <v>0.5234515113724092</v>
      </c>
      <c r="M21" s="40">
        <f t="shared" si="31"/>
        <v>0.43333620244448273</v>
      </c>
      <c r="N21" s="75">
        <v>0.45</v>
      </c>
      <c r="R21" s="40">
        <f t="shared" ref="R21:S21" si="32">R6/R4</f>
        <v>0.45836901923566581</v>
      </c>
      <c r="S21" s="40">
        <f t="shared" si="32"/>
        <v>0.47799139074991098</v>
      </c>
      <c r="T21" s="40">
        <f t="shared" ref="T21" si="33">T6/T4</f>
        <v>0.47181477419277074</v>
      </c>
      <c r="U21" s="40">
        <f>U6/U4</f>
        <v>0.50293340993713331</v>
      </c>
      <c r="V21" s="40">
        <f>V6/V4</f>
        <v>0.50650446727394427</v>
      </c>
      <c r="W21" s="75">
        <f>W6/W4</f>
        <v>0.44275487062803592</v>
      </c>
    </row>
    <row r="22" spans="2:23" s="40" customFormat="1" x14ac:dyDescent="0.2">
      <c r="B22" s="40" t="s">
        <v>67</v>
      </c>
      <c r="C22" s="40">
        <f t="shared" ref="C22:M22" si="34">C9/C4</f>
        <v>8.5756849536887059E-2</v>
      </c>
      <c r="D22" s="41">
        <f t="shared" si="34"/>
        <v>0.31038830055471506</v>
      </c>
      <c r="E22" s="40">
        <f t="shared" si="34"/>
        <v>0.33800500065798134</v>
      </c>
      <c r="F22" s="41">
        <f t="shared" si="34"/>
        <v>0.27651442767055218</v>
      </c>
      <c r="G22" s="40">
        <f t="shared" si="34"/>
        <v>0.34234211001366788</v>
      </c>
      <c r="H22" s="41">
        <f t="shared" si="34"/>
        <v>0.29172700941346841</v>
      </c>
      <c r="I22" s="40">
        <f t="shared" si="34"/>
        <v>0.34906507105459988</v>
      </c>
      <c r="J22" s="41">
        <f t="shared" si="34"/>
        <v>0.30242663544911608</v>
      </c>
      <c r="K22" s="40">
        <f t="shared" si="34"/>
        <v>0.22839865537380991</v>
      </c>
      <c r="L22" s="41">
        <f t="shared" si="34"/>
        <v>0.2387790248827126</v>
      </c>
      <c r="M22" s="40">
        <f t="shared" si="34"/>
        <v>0.12238193607620361</v>
      </c>
      <c r="N22" s="75">
        <f>N9/N4</f>
        <v>0.15129937629937626</v>
      </c>
      <c r="R22" s="40">
        <f t="shared" ref="R22:S22" si="35">R9/R4</f>
        <v>0.23011041411078448</v>
      </c>
      <c r="S22" s="40">
        <f t="shared" si="35"/>
        <v>0.30676117422403471</v>
      </c>
      <c r="T22" s="40">
        <f t="shared" ref="T22" si="36">T9/T4</f>
        <v>0.31538285383697523</v>
      </c>
      <c r="U22" s="40">
        <f>U9/U4</f>
        <v>0.32309494083461315</v>
      </c>
      <c r="V22" s="40">
        <f>V9/V4</f>
        <v>0.23475742847996264</v>
      </c>
      <c r="W22" s="75"/>
    </row>
    <row r="23" spans="2:23" s="40" customFormat="1" x14ac:dyDescent="0.2">
      <c r="B23" s="40" t="s">
        <v>68</v>
      </c>
      <c r="C23" s="40">
        <f t="shared" ref="C23:M23" si="37">C14/C4</f>
        <v>-2.9017423408251863E-2</v>
      </c>
      <c r="D23" s="41">
        <f t="shared" si="37"/>
        <v>0.27559253656076643</v>
      </c>
      <c r="E23" s="40">
        <f t="shared" si="37"/>
        <v>0.28872220028951184</v>
      </c>
      <c r="F23" s="41">
        <f t="shared" si="37"/>
        <v>0.24979298044461429</v>
      </c>
      <c r="G23" s="40">
        <f t="shared" si="37"/>
        <v>0.28411171570776489</v>
      </c>
      <c r="H23" s="41">
        <f t="shared" si="37"/>
        <v>0.24726194786386668</v>
      </c>
      <c r="I23" s="40">
        <f t="shared" si="37"/>
        <v>0.27873348292196465</v>
      </c>
      <c r="J23" s="41">
        <f t="shared" si="37"/>
        <v>0.24919145221135341</v>
      </c>
      <c r="K23" s="40">
        <f t="shared" si="37"/>
        <v>0.16727074686848586</v>
      </c>
      <c r="L23" s="41">
        <f t="shared" si="37"/>
        <v>0.16894114852425901</v>
      </c>
      <c r="M23" s="40">
        <f t="shared" si="37"/>
        <v>7.9761289952372763E-2</v>
      </c>
      <c r="N23" s="75">
        <f>N14/N4</f>
        <v>0.11112120449700064</v>
      </c>
      <c r="R23" s="40">
        <f t="shared" ref="R23:S23" si="38">R14/R4</f>
        <v>0.16673225156825075</v>
      </c>
      <c r="S23" s="40">
        <f t="shared" si="38"/>
        <v>0.26894196847590379</v>
      </c>
      <c r="T23" s="40">
        <f t="shared" ref="T23" si="39">T14/T4</f>
        <v>0.26448432547095901</v>
      </c>
      <c r="U23" s="40">
        <f>U14/U4</f>
        <v>0.26228330884221462</v>
      </c>
      <c r="V23" s="40">
        <f>V14/V4</f>
        <v>0.1682939961002298</v>
      </c>
      <c r="W23" s="75"/>
    </row>
    <row r="24" spans="2:23" s="40" customFormat="1" x14ac:dyDescent="0.2">
      <c r="B24" s="40" t="s">
        <v>69</v>
      </c>
      <c r="C24" s="40">
        <f t="shared" ref="C24:M24" si="40">C13/C12</f>
        <v>15.451612903226069</v>
      </c>
      <c r="D24" s="41">
        <f t="shared" si="40"/>
        <v>0.11712439418416805</v>
      </c>
      <c r="E24" s="40">
        <f t="shared" si="40"/>
        <v>0.15256855928930088</v>
      </c>
      <c r="F24" s="41">
        <f t="shared" si="40"/>
        <v>0.11016564556387569</v>
      </c>
      <c r="G24" s="40">
        <f t="shared" si="40"/>
        <v>0.17376631168441581</v>
      </c>
      <c r="H24" s="41">
        <f t="shared" si="40"/>
        <v>0.15307704231902036</v>
      </c>
      <c r="I24" s="40">
        <f t="shared" si="40"/>
        <v>0.2007434944237918</v>
      </c>
      <c r="J24" s="41">
        <f t="shared" si="40"/>
        <v>0.16943323854242445</v>
      </c>
      <c r="K24" s="40">
        <f t="shared" si="40"/>
        <v>0.20252484555466016</v>
      </c>
      <c r="L24" s="41">
        <f t="shared" si="40"/>
        <v>0.17056388127587629</v>
      </c>
      <c r="M24" s="40">
        <f t="shared" si="40"/>
        <v>0.31408832963237104</v>
      </c>
      <c r="N24" s="75">
        <f>N13/N12</f>
        <v>0.2</v>
      </c>
      <c r="R24" s="40">
        <f t="shared" ref="R24:S24" si="41">R13/R12</f>
        <v>0.17178337357709553</v>
      </c>
      <c r="S24" s="40">
        <f t="shared" si="41"/>
        <v>0.13307250912884719</v>
      </c>
      <c r="T24" s="40">
        <f t="shared" ref="T24" si="42">T13/T12</f>
        <v>0.16359201097728315</v>
      </c>
      <c r="U24" s="40">
        <f>U13/U12</f>
        <v>0.18447902710501904</v>
      </c>
      <c r="V24" s="40">
        <f>V13/V12</f>
        <v>0.18316971537537974</v>
      </c>
      <c r="W24" s="75"/>
    </row>
    <row r="28" spans="2:23" x14ac:dyDescent="0.2">
      <c r="B28" s="28" t="s">
        <v>60</v>
      </c>
    </row>
    <row r="29" spans="2:23" x14ac:dyDescent="0.2">
      <c r="B29" s="1" t="s">
        <v>61</v>
      </c>
      <c r="C29" s="1">
        <v>154</v>
      </c>
      <c r="D29" s="27">
        <f>R29</f>
        <v>167</v>
      </c>
      <c r="E29" s="1">
        <v>164</v>
      </c>
      <c r="F29" s="27">
        <f>S29</f>
        <v>200</v>
      </c>
      <c r="G29" s="1">
        <v>250</v>
      </c>
      <c r="H29" s="27">
        <f>+T29</f>
        <v>250</v>
      </c>
      <c r="I29" s="1">
        <v>262</v>
      </c>
      <c r="J29" s="27">
        <f>U29</f>
        <v>265</v>
      </c>
      <c r="K29" s="1">
        <v>392</v>
      </c>
      <c r="L29" s="27">
        <f>V29</f>
        <v>392</v>
      </c>
      <c r="M29" s="1">
        <v>438</v>
      </c>
      <c r="R29" s="1">
        <v>167</v>
      </c>
      <c r="S29" s="1">
        <v>200</v>
      </c>
      <c r="T29" s="1">
        <v>250</v>
      </c>
      <c r="U29" s="1">
        <v>265</v>
      </c>
      <c r="V29" s="1">
        <v>392</v>
      </c>
    </row>
    <row r="30" spans="2:23" s="59" customFormat="1" x14ac:dyDescent="0.2">
      <c r="B30" s="58" t="s">
        <v>123</v>
      </c>
      <c r="C30" s="63" t="s">
        <v>121</v>
      </c>
      <c r="D30" s="64" t="s">
        <v>121</v>
      </c>
      <c r="E30" s="59">
        <f t="shared" ref="E30:M30" si="43">E29-C29</f>
        <v>10</v>
      </c>
      <c r="F30" s="60">
        <f t="shared" si="43"/>
        <v>33</v>
      </c>
      <c r="G30" s="59">
        <f t="shared" si="43"/>
        <v>86</v>
      </c>
      <c r="H30" s="60">
        <f t="shared" si="43"/>
        <v>50</v>
      </c>
      <c r="I30" s="59">
        <f t="shared" si="43"/>
        <v>12</v>
      </c>
      <c r="J30" s="60">
        <f t="shared" si="43"/>
        <v>15</v>
      </c>
      <c r="K30" s="59">
        <f t="shared" si="43"/>
        <v>130</v>
      </c>
      <c r="L30" s="60">
        <f t="shared" si="43"/>
        <v>127</v>
      </c>
      <c r="M30" s="59">
        <f t="shared" si="43"/>
        <v>46</v>
      </c>
      <c r="N30" s="76"/>
      <c r="Q30" s="59" t="s">
        <v>16</v>
      </c>
      <c r="R30" s="63" t="s">
        <v>121</v>
      </c>
      <c r="S30" s="59">
        <f>S29-R29</f>
        <v>33</v>
      </c>
      <c r="T30" s="59">
        <f t="shared" ref="T30:U30" si="44">T29-S29</f>
        <v>50</v>
      </c>
      <c r="U30" s="59">
        <f t="shared" si="44"/>
        <v>15</v>
      </c>
      <c r="V30" s="59">
        <f>V29-U29</f>
        <v>127</v>
      </c>
      <c r="W30" s="76"/>
    </row>
    <row r="31" spans="2:23" s="59" customFormat="1" x14ac:dyDescent="0.2">
      <c r="B31" s="58" t="s">
        <v>124</v>
      </c>
      <c r="C31" s="63" t="s">
        <v>121</v>
      </c>
      <c r="D31" s="60">
        <f t="shared" ref="D31:M31" si="45">D29-C29</f>
        <v>13</v>
      </c>
      <c r="E31" s="59">
        <f t="shared" si="45"/>
        <v>-3</v>
      </c>
      <c r="F31" s="60">
        <f t="shared" si="45"/>
        <v>36</v>
      </c>
      <c r="G31" s="59">
        <f t="shared" si="45"/>
        <v>50</v>
      </c>
      <c r="H31" s="60">
        <f t="shared" si="45"/>
        <v>0</v>
      </c>
      <c r="I31" s="59">
        <f t="shared" si="45"/>
        <v>12</v>
      </c>
      <c r="J31" s="60">
        <f t="shared" si="45"/>
        <v>3</v>
      </c>
      <c r="K31" s="59">
        <f t="shared" si="45"/>
        <v>127</v>
      </c>
      <c r="L31" s="60">
        <f t="shared" si="45"/>
        <v>0</v>
      </c>
      <c r="M31" s="59">
        <f t="shared" si="45"/>
        <v>46</v>
      </c>
      <c r="N31" s="76"/>
      <c r="R31" s="63" t="s">
        <v>121</v>
      </c>
      <c r="S31" s="63" t="s">
        <v>121</v>
      </c>
      <c r="T31" s="63" t="s">
        <v>121</v>
      </c>
      <c r="U31" s="63" t="s">
        <v>121</v>
      </c>
      <c r="V31" s="63" t="s">
        <v>121</v>
      </c>
      <c r="W31" s="76"/>
    </row>
    <row r="33" spans="2:23" x14ac:dyDescent="0.2">
      <c r="B33" s="1" t="s">
        <v>62</v>
      </c>
    </row>
    <row r="37" spans="2:23" x14ac:dyDescent="0.2">
      <c r="B37" s="28" t="s">
        <v>82</v>
      </c>
    </row>
    <row r="38" spans="2:23" x14ac:dyDescent="0.2">
      <c r="B38" s="1" t="s">
        <v>84</v>
      </c>
      <c r="C38" s="36">
        <v>0</v>
      </c>
      <c r="D38" s="37"/>
      <c r="E38" s="36">
        <v>0</v>
      </c>
      <c r="F38" s="37"/>
      <c r="G38" s="36">
        <v>0</v>
      </c>
      <c r="I38" s="36">
        <v>0</v>
      </c>
      <c r="J38" s="37">
        <f>U38</f>
        <v>0</v>
      </c>
      <c r="K38" s="36">
        <v>0.64500000000000002</v>
      </c>
      <c r="L38" s="37">
        <f>V38</f>
        <v>1.0449999999999999</v>
      </c>
      <c r="M38" s="36">
        <v>0.83199999999999996</v>
      </c>
      <c r="T38" s="36">
        <v>0</v>
      </c>
      <c r="U38" s="36">
        <v>0</v>
      </c>
      <c r="V38" s="36">
        <v>1.0449999999999999</v>
      </c>
    </row>
    <row r="39" spans="2:23" x14ac:dyDescent="0.2">
      <c r="B39" s="1" t="s">
        <v>83</v>
      </c>
      <c r="C39" s="36">
        <f>21.083+18.714+3.302</f>
        <v>43.098999999999997</v>
      </c>
      <c r="D39" s="37"/>
      <c r="E39" s="36">
        <f>21.083+16.93+2.366</f>
        <v>40.378999999999998</v>
      </c>
      <c r="F39" s="37"/>
      <c r="G39" s="36">
        <f>22.379+15.147+5.895</f>
        <v>43.421000000000006</v>
      </c>
      <c r="I39" s="36">
        <f>22.379+24.764+7.207</f>
        <v>54.35</v>
      </c>
      <c r="J39" s="37">
        <f>U39</f>
        <v>81.307999999999993</v>
      </c>
      <c r="K39" s="36">
        <v>225.989</v>
      </c>
      <c r="L39" s="37">
        <f t="shared" ref="L39:L47" si="46">V39</f>
        <v>234.10900000000001</v>
      </c>
      <c r="M39" s="36">
        <v>239.08600000000001</v>
      </c>
      <c r="T39" s="36">
        <v>42.920999999999999</v>
      </c>
      <c r="U39" s="36">
        <f>41.449+39.859</f>
        <v>81.307999999999993</v>
      </c>
      <c r="V39" s="36">
        <f>113.424+120.685</f>
        <v>234.10900000000001</v>
      </c>
    </row>
    <row r="40" spans="2:23" x14ac:dyDescent="0.2">
      <c r="B40" s="1" t="s">
        <v>85</v>
      </c>
      <c r="C40" s="36">
        <v>0.68200000000000005</v>
      </c>
      <c r="D40" s="37"/>
      <c r="E40" s="36">
        <v>0.51200000000000001</v>
      </c>
      <c r="F40" s="37"/>
      <c r="G40" s="36">
        <v>1.4570000000000001</v>
      </c>
      <c r="I40" s="36">
        <v>1.4319999999999999</v>
      </c>
      <c r="J40" s="37">
        <f t="shared" ref="J40:J42" si="47">U40</f>
        <v>1.446</v>
      </c>
      <c r="K40" s="36">
        <v>1.9330000000000001</v>
      </c>
      <c r="L40" s="37">
        <f t="shared" si="46"/>
        <v>1.6919999999999999</v>
      </c>
      <c r="M40" s="36">
        <v>1.782</v>
      </c>
      <c r="T40" s="36">
        <v>1.353</v>
      </c>
      <c r="U40" s="36">
        <v>1.446</v>
      </c>
      <c r="V40" s="36">
        <v>1.6919999999999999</v>
      </c>
    </row>
    <row r="41" spans="2:23" x14ac:dyDescent="0.2">
      <c r="B41" s="1" t="s">
        <v>86</v>
      </c>
      <c r="C41" s="36">
        <v>0</v>
      </c>
      <c r="D41" s="37"/>
      <c r="E41" s="36">
        <v>8.1000000000000003E-2</v>
      </c>
      <c r="F41" s="37"/>
      <c r="G41" s="36">
        <v>1.446</v>
      </c>
      <c r="I41" s="36">
        <v>1.3109999999999999</v>
      </c>
      <c r="J41" s="37">
        <f t="shared" si="47"/>
        <v>2.1890000000000001</v>
      </c>
      <c r="K41" s="36">
        <v>2.8180000000000001</v>
      </c>
      <c r="L41" s="37">
        <f t="shared" si="46"/>
        <v>2.7850000000000001</v>
      </c>
      <c r="M41" s="36">
        <v>4.2709999999999999</v>
      </c>
      <c r="T41" s="36">
        <v>1.3779999999999999</v>
      </c>
      <c r="U41" s="36">
        <v>2.1890000000000001</v>
      </c>
      <c r="V41" s="36">
        <v>2.7850000000000001</v>
      </c>
    </row>
    <row r="42" spans="2:23" x14ac:dyDescent="0.2">
      <c r="B42" s="1" t="s">
        <v>87</v>
      </c>
      <c r="C42" s="36">
        <v>0</v>
      </c>
      <c r="D42" s="37"/>
      <c r="E42" s="36">
        <v>0.17199999999999999</v>
      </c>
      <c r="F42" s="37"/>
      <c r="G42" s="36">
        <v>0</v>
      </c>
      <c r="I42" s="36">
        <v>0</v>
      </c>
      <c r="J42" s="37">
        <f t="shared" si="47"/>
        <v>0.56100000000000005</v>
      </c>
      <c r="K42" s="36">
        <v>1.4E-2</v>
      </c>
      <c r="L42" s="37">
        <f t="shared" si="46"/>
        <v>0</v>
      </c>
      <c r="M42" s="36">
        <v>0</v>
      </c>
      <c r="T42" s="36">
        <v>0</v>
      </c>
      <c r="U42" s="36">
        <v>0.56100000000000005</v>
      </c>
      <c r="V42" s="36">
        <v>0</v>
      </c>
    </row>
    <row r="43" spans="2:23" x14ac:dyDescent="0.2">
      <c r="B43" s="1" t="s">
        <v>88</v>
      </c>
      <c r="C43" s="36">
        <f>SUM(C38:C42)</f>
        <v>43.780999999999999</v>
      </c>
      <c r="D43" s="37">
        <f>SUM(D38:D42)</f>
        <v>0</v>
      </c>
      <c r="E43" s="36">
        <f>SUM(E38:E42)</f>
        <v>41.143999999999998</v>
      </c>
      <c r="F43" s="37">
        <f>SUM(F38:F42)</f>
        <v>0</v>
      </c>
      <c r="G43" s="36">
        <f>SUM(G38:G42)</f>
        <v>46.324000000000005</v>
      </c>
      <c r="H43" s="37">
        <f>SUM(H38:H42)</f>
        <v>0</v>
      </c>
      <c r="I43" s="36">
        <f>SUM(I38:I42)</f>
        <v>57.093000000000004</v>
      </c>
      <c r="J43" s="37">
        <f>SUM(J38:J42)</f>
        <v>85.503999999999991</v>
      </c>
      <c r="K43" s="36">
        <f>SUM(K38:K42)</f>
        <v>231.39900000000003</v>
      </c>
      <c r="L43" s="37">
        <f>SUM(L38:L42)</f>
        <v>239.631</v>
      </c>
      <c r="M43" s="36">
        <f>SUM(M38:M42)</f>
        <v>245.971</v>
      </c>
      <c r="R43" s="36">
        <f t="shared" ref="R43:U43" si="48">SUM(R38:R42)</f>
        <v>0</v>
      </c>
      <c r="S43" s="36">
        <f t="shared" si="48"/>
        <v>0</v>
      </c>
      <c r="T43" s="36">
        <f t="shared" si="48"/>
        <v>45.652000000000001</v>
      </c>
      <c r="U43" s="36">
        <f t="shared" si="48"/>
        <v>85.503999999999991</v>
      </c>
      <c r="V43" s="36">
        <f>SUM(V38:V42)</f>
        <v>239.631</v>
      </c>
    </row>
    <row r="44" spans="2:23" x14ac:dyDescent="0.2">
      <c r="B44" s="1" t="s">
        <v>89</v>
      </c>
      <c r="C44" s="36">
        <v>4.6790000000000003</v>
      </c>
      <c r="D44" s="37"/>
      <c r="E44" s="36">
        <v>8.48</v>
      </c>
      <c r="F44" s="37"/>
      <c r="G44" s="36">
        <v>12.111000000000001</v>
      </c>
      <c r="H44" s="37"/>
      <c r="I44" s="36">
        <v>11.4</v>
      </c>
      <c r="J44" s="37">
        <f t="shared" ref="J44:J45" si="49">U44</f>
        <v>17.824999999999999</v>
      </c>
      <c r="K44" s="36">
        <v>18.966000000000001</v>
      </c>
      <c r="L44" s="37">
        <f t="shared" si="46"/>
        <v>36.043999999999997</v>
      </c>
      <c r="M44" s="36">
        <v>26.49</v>
      </c>
      <c r="T44" s="36">
        <v>16.43</v>
      </c>
      <c r="U44" s="36">
        <v>17.824999999999999</v>
      </c>
      <c r="V44" s="36">
        <v>36.043999999999997</v>
      </c>
    </row>
    <row r="45" spans="2:23" x14ac:dyDescent="0.2">
      <c r="B45" s="1" t="s">
        <v>90</v>
      </c>
      <c r="C45" s="36">
        <v>0</v>
      </c>
      <c r="D45" s="37"/>
      <c r="E45" s="36">
        <v>0</v>
      </c>
      <c r="F45" s="37"/>
      <c r="G45" s="36">
        <v>0</v>
      </c>
      <c r="H45" s="37"/>
      <c r="I45" s="36">
        <v>0</v>
      </c>
      <c r="J45" s="37">
        <f t="shared" si="49"/>
        <v>0</v>
      </c>
      <c r="K45" s="36">
        <v>0.96899999999999997</v>
      </c>
      <c r="L45" s="37">
        <f t="shared" si="46"/>
        <v>1.2250000000000001</v>
      </c>
      <c r="M45" s="36">
        <v>0.92900000000000005</v>
      </c>
      <c r="T45" s="36">
        <v>0</v>
      </c>
      <c r="U45" s="36">
        <v>0</v>
      </c>
      <c r="V45" s="36">
        <v>1.2250000000000001</v>
      </c>
    </row>
    <row r="46" spans="2:23" s="2" customFormat="1" x14ac:dyDescent="0.2">
      <c r="B46" s="2" t="s">
        <v>6</v>
      </c>
      <c r="C46" s="34">
        <v>16.666</v>
      </c>
      <c r="D46" s="35"/>
      <c r="E46" s="34">
        <v>35.784999999999997</v>
      </c>
      <c r="F46" s="35"/>
      <c r="G46" s="34">
        <v>50.375</v>
      </c>
      <c r="H46" s="35"/>
      <c r="I46" s="34">
        <v>66.590999999999994</v>
      </c>
      <c r="J46" s="35">
        <f>U46</f>
        <v>55.302</v>
      </c>
      <c r="K46" s="34">
        <v>51.295000000000002</v>
      </c>
      <c r="L46" s="35">
        <f>V46</f>
        <v>50.828000000000003</v>
      </c>
      <c r="M46" s="34">
        <v>45.158999999999999</v>
      </c>
      <c r="N46" s="71"/>
      <c r="T46" s="34">
        <v>61.47</v>
      </c>
      <c r="U46" s="34">
        <v>55.302</v>
      </c>
      <c r="V46" s="34">
        <v>50.828000000000003</v>
      </c>
      <c r="W46" s="71"/>
    </row>
    <row r="47" spans="2:23" x14ac:dyDescent="0.2">
      <c r="B47" s="1" t="s">
        <v>120</v>
      </c>
      <c r="C47" s="1">
        <v>0</v>
      </c>
      <c r="D47" s="37"/>
      <c r="E47" s="1">
        <v>0</v>
      </c>
      <c r="F47" s="37"/>
      <c r="G47" s="1">
        <v>0.378</v>
      </c>
      <c r="H47" s="37"/>
      <c r="I47" s="36">
        <v>0.25700000000000001</v>
      </c>
      <c r="J47" s="37">
        <f>U47</f>
        <v>0</v>
      </c>
      <c r="K47" s="36">
        <v>0</v>
      </c>
      <c r="L47" s="37">
        <f t="shared" si="46"/>
        <v>0</v>
      </c>
      <c r="M47" s="36">
        <v>0</v>
      </c>
      <c r="T47" s="36">
        <v>0.67</v>
      </c>
      <c r="U47" s="36">
        <v>0</v>
      </c>
      <c r="V47" s="36">
        <v>0</v>
      </c>
    </row>
    <row r="48" spans="2:23" x14ac:dyDescent="0.2">
      <c r="B48" s="1" t="s">
        <v>91</v>
      </c>
      <c r="C48" s="36">
        <f>SUM(C43:C47)</f>
        <v>65.126000000000005</v>
      </c>
      <c r="D48" s="37">
        <f>SUM(D43:D47)</f>
        <v>0</v>
      </c>
      <c r="E48" s="36">
        <f>SUM(E43:E47)</f>
        <v>85.408999999999992</v>
      </c>
      <c r="F48" s="37">
        <f>SUM(F43:F47)</f>
        <v>0</v>
      </c>
      <c r="G48" s="36">
        <f>SUM(G43:G47)</f>
        <v>109.188</v>
      </c>
      <c r="H48" s="37">
        <f>SUM(H43:H47)</f>
        <v>0</v>
      </c>
      <c r="I48" s="36">
        <f>SUM(I43:I47)</f>
        <v>135.34100000000001</v>
      </c>
      <c r="J48" s="37">
        <f>SUM(J43:J47)</f>
        <v>158.631</v>
      </c>
      <c r="K48" s="36">
        <f>SUM(K43:K47)</f>
        <v>302.62900000000002</v>
      </c>
      <c r="L48" s="37">
        <f>SUM(L43:L47)</f>
        <v>327.72800000000007</v>
      </c>
      <c r="M48" s="36">
        <f>SUM(M43:M47)</f>
        <v>318.54899999999998</v>
      </c>
      <c r="R48" s="36">
        <f t="shared" ref="R48:U48" si="50">SUM(R43:R47)</f>
        <v>0</v>
      </c>
      <c r="S48" s="36">
        <f t="shared" si="50"/>
        <v>0</v>
      </c>
      <c r="T48" s="36">
        <f t="shared" si="50"/>
        <v>124.22199999999999</v>
      </c>
      <c r="U48" s="36">
        <f t="shared" si="50"/>
        <v>158.631</v>
      </c>
      <c r="V48" s="36">
        <f>SUM(V43:V47)</f>
        <v>327.72800000000007</v>
      </c>
    </row>
    <row r="49" spans="2:23" x14ac:dyDescent="0.2">
      <c r="I49" s="36"/>
      <c r="K49" s="36"/>
      <c r="L49" s="37"/>
      <c r="M49" s="36"/>
      <c r="V49" s="36"/>
    </row>
    <row r="50" spans="2:23" x14ac:dyDescent="0.2">
      <c r="B50" s="1" t="s">
        <v>92</v>
      </c>
      <c r="C50" s="36">
        <v>0</v>
      </c>
      <c r="E50" s="36">
        <v>0</v>
      </c>
      <c r="G50" s="36">
        <v>1.393</v>
      </c>
      <c r="I50" s="36">
        <v>1.2470000000000001</v>
      </c>
      <c r="J50" s="37">
        <f t="shared" ref="J50:J54" si="51">U50</f>
        <v>2.0419999999999998</v>
      </c>
      <c r="K50" s="36">
        <v>2.6890000000000001</v>
      </c>
      <c r="L50" s="37">
        <f t="shared" ref="L50:L54" si="52">V50</f>
        <v>2.625</v>
      </c>
      <c r="M50" s="36">
        <v>3.9180000000000001</v>
      </c>
      <c r="T50" s="36">
        <v>1.32</v>
      </c>
      <c r="U50" s="36">
        <v>2.0419999999999998</v>
      </c>
      <c r="V50" s="36">
        <v>2.625</v>
      </c>
    </row>
    <row r="51" spans="2:23" x14ac:dyDescent="0.2">
      <c r="B51" s="1" t="s">
        <v>126</v>
      </c>
      <c r="C51" s="36">
        <v>0</v>
      </c>
      <c r="E51" s="36">
        <v>0</v>
      </c>
      <c r="G51" s="36">
        <v>0</v>
      </c>
      <c r="I51" s="36">
        <v>0</v>
      </c>
      <c r="J51" s="37">
        <f t="shared" si="51"/>
        <v>0</v>
      </c>
      <c r="K51" s="36">
        <v>0</v>
      </c>
      <c r="L51" s="37">
        <f t="shared" si="52"/>
        <v>9.3689999999999998</v>
      </c>
      <c r="M51" s="36">
        <v>0</v>
      </c>
      <c r="T51" s="36">
        <v>0</v>
      </c>
      <c r="U51" s="36">
        <v>0</v>
      </c>
      <c r="V51" s="36">
        <v>9.3689999999999998</v>
      </c>
    </row>
    <row r="52" spans="2:23" x14ac:dyDescent="0.2">
      <c r="B52" s="1" t="s">
        <v>93</v>
      </c>
      <c r="C52" s="36">
        <v>0</v>
      </c>
      <c r="E52" s="36">
        <v>0</v>
      </c>
      <c r="G52" s="36">
        <v>0</v>
      </c>
      <c r="I52" s="36">
        <v>0</v>
      </c>
      <c r="J52" s="37">
        <f t="shared" si="51"/>
        <v>0</v>
      </c>
      <c r="K52" s="36">
        <v>25.242000000000001</v>
      </c>
      <c r="L52" s="37">
        <f t="shared" si="52"/>
        <v>0</v>
      </c>
      <c r="M52" s="36">
        <v>0</v>
      </c>
      <c r="T52" s="36">
        <v>0</v>
      </c>
      <c r="U52" s="36">
        <v>0</v>
      </c>
      <c r="V52" s="36">
        <v>0</v>
      </c>
    </row>
    <row r="53" spans="2:23" x14ac:dyDescent="0.2">
      <c r="B53" s="1" t="s">
        <v>94</v>
      </c>
      <c r="C53" s="36">
        <v>5.7000000000000002E-2</v>
      </c>
      <c r="E53" s="36">
        <v>0.20499999999999999</v>
      </c>
      <c r="G53" s="36">
        <v>4.1000000000000002E-2</v>
      </c>
      <c r="I53" s="36">
        <v>9.0999999999999998E-2</v>
      </c>
      <c r="J53" s="37">
        <f t="shared" si="51"/>
        <v>0.109</v>
      </c>
      <c r="K53" s="36">
        <v>0.124</v>
      </c>
      <c r="L53" s="37">
        <f t="shared" si="52"/>
        <v>0.14000000000000001</v>
      </c>
      <c r="M53" s="36">
        <v>0.155</v>
      </c>
      <c r="T53" s="36">
        <v>7.5999999999999998E-2</v>
      </c>
      <c r="U53" s="36">
        <v>0.109</v>
      </c>
      <c r="V53" s="36">
        <v>0.14000000000000001</v>
      </c>
    </row>
    <row r="54" spans="2:23" x14ac:dyDescent="0.2">
      <c r="B54" s="1" t="s">
        <v>87</v>
      </c>
      <c r="C54" s="36">
        <v>3.3959999999999999</v>
      </c>
      <c r="E54" s="36">
        <v>2.9620000000000002</v>
      </c>
      <c r="G54" s="36">
        <v>2.819</v>
      </c>
      <c r="I54" s="36">
        <v>2.6309999999999998</v>
      </c>
      <c r="J54" s="37">
        <f t="shared" si="51"/>
        <v>3.55</v>
      </c>
      <c r="K54" s="36">
        <v>8.6240000000000006</v>
      </c>
      <c r="L54" s="37">
        <f t="shared" si="52"/>
        <v>9.1690000000000005</v>
      </c>
      <c r="M54" s="36">
        <v>8.2289999999999992</v>
      </c>
      <c r="T54" s="36">
        <v>2.1259999999999999</v>
      </c>
      <c r="U54" s="36">
        <v>3.55</v>
      </c>
      <c r="V54" s="36">
        <v>9.1690000000000005</v>
      </c>
    </row>
    <row r="55" spans="2:23" x14ac:dyDescent="0.2">
      <c r="B55" s="1" t="s">
        <v>95</v>
      </c>
      <c r="C55" s="36">
        <f>SUM(C50:C54)</f>
        <v>3.4529999999999998</v>
      </c>
      <c r="D55" s="37">
        <f>SUM(D50:D54)</f>
        <v>0</v>
      </c>
      <c r="E55" s="36">
        <f>SUM(E50:E54)</f>
        <v>3.1670000000000003</v>
      </c>
      <c r="F55" s="37">
        <f>SUM(F50:F54)</f>
        <v>0</v>
      </c>
      <c r="G55" s="36">
        <f>SUM(G50:G54)</f>
        <v>4.2530000000000001</v>
      </c>
      <c r="H55" s="37">
        <f>SUM(H50:H54)</f>
        <v>0</v>
      </c>
      <c r="I55" s="36">
        <f>SUM(I50:I54)</f>
        <v>3.9689999999999999</v>
      </c>
      <c r="J55" s="37">
        <f>SUM(J50:J54)</f>
        <v>5.7009999999999996</v>
      </c>
      <c r="K55" s="36">
        <f>SUM(K50:K54)</f>
        <v>36.679000000000002</v>
      </c>
      <c r="L55" s="37">
        <f>SUM(L50:L54)</f>
        <v>21.303000000000001</v>
      </c>
      <c r="M55" s="36">
        <f>SUM(M50:M54)</f>
        <v>12.302</v>
      </c>
      <c r="R55" s="36">
        <f t="shared" ref="R55:U55" si="53">SUM(R50:R54)</f>
        <v>0</v>
      </c>
      <c r="S55" s="36">
        <f t="shared" si="53"/>
        <v>0</v>
      </c>
      <c r="T55" s="36">
        <f t="shared" si="53"/>
        <v>3.5220000000000002</v>
      </c>
      <c r="U55" s="36">
        <f t="shared" si="53"/>
        <v>5.7009999999999996</v>
      </c>
      <c r="V55" s="36">
        <f>SUM(V50:V54)</f>
        <v>21.303000000000001</v>
      </c>
    </row>
    <row r="56" spans="2:23" x14ac:dyDescent="0.2">
      <c r="B56" s="1" t="s">
        <v>96</v>
      </c>
      <c r="C56" s="36">
        <v>6.3460000000000001</v>
      </c>
      <c r="E56" s="36">
        <v>7.7089999999999996</v>
      </c>
      <c r="G56" s="36">
        <v>12.789</v>
      </c>
      <c r="I56" s="36">
        <v>16.334</v>
      </c>
      <c r="J56" s="37">
        <f t="shared" ref="J56:J58" si="54">U56</f>
        <v>24.315000000000001</v>
      </c>
      <c r="K56" s="36">
        <v>28.722000000000001</v>
      </c>
      <c r="L56" s="37">
        <f t="shared" ref="L56:L58" si="55">V56</f>
        <v>52.338999999999999</v>
      </c>
      <c r="M56" s="36">
        <v>49.097000000000001</v>
      </c>
      <c r="T56" s="36">
        <v>17.206</v>
      </c>
      <c r="U56" s="36">
        <v>24.315000000000001</v>
      </c>
      <c r="V56" s="36">
        <v>52.338999999999999</v>
      </c>
    </row>
    <row r="57" spans="2:23" x14ac:dyDescent="0.2">
      <c r="B57" s="1" t="s">
        <v>97</v>
      </c>
      <c r="C57" s="36">
        <v>0.73099999999999998</v>
      </c>
      <c r="E57" s="36">
        <v>2.4740000000000002</v>
      </c>
      <c r="G57" s="36">
        <v>0</v>
      </c>
      <c r="I57" s="36">
        <v>0</v>
      </c>
      <c r="J57" s="37">
        <f t="shared" si="54"/>
        <v>0.67800000000000005</v>
      </c>
      <c r="K57" s="36">
        <v>1.718</v>
      </c>
      <c r="L57" s="37">
        <f t="shared" si="55"/>
        <v>1.262</v>
      </c>
      <c r="M57" s="36">
        <v>1.081</v>
      </c>
      <c r="T57" s="36">
        <v>0</v>
      </c>
      <c r="U57" s="36">
        <v>0.67800000000000005</v>
      </c>
      <c r="V57" s="36">
        <v>1.262</v>
      </c>
    </row>
    <row r="58" spans="2:23" x14ac:dyDescent="0.2">
      <c r="B58" s="1" t="s">
        <v>92</v>
      </c>
      <c r="C58" s="36">
        <v>0</v>
      </c>
      <c r="E58" s="36">
        <v>0</v>
      </c>
      <c r="G58" s="36">
        <v>0.14199999999999999</v>
      </c>
      <c r="I58" s="36">
        <v>0.14499999999999999</v>
      </c>
      <c r="J58" s="37">
        <f t="shared" si="54"/>
        <v>0.30099999999999999</v>
      </c>
      <c r="K58" s="36">
        <v>0.36</v>
      </c>
      <c r="L58" s="37">
        <f t="shared" si="55"/>
        <v>0.36399999999999999</v>
      </c>
      <c r="M58" s="36">
        <v>0.73</v>
      </c>
      <c r="T58" s="36">
        <v>0.14499999999999999</v>
      </c>
      <c r="U58" s="36">
        <v>0.30099999999999999</v>
      </c>
      <c r="V58" s="36">
        <v>0.36399999999999999</v>
      </c>
    </row>
    <row r="59" spans="2:23" x14ac:dyDescent="0.2">
      <c r="B59" s="1" t="s">
        <v>98</v>
      </c>
      <c r="C59" s="36">
        <f>SUM(C55:C58)</f>
        <v>10.53</v>
      </c>
      <c r="D59" s="37">
        <f>SUM(D55:D58)</f>
        <v>0</v>
      </c>
      <c r="E59" s="36">
        <f>SUM(E55:E58)</f>
        <v>13.35</v>
      </c>
      <c r="F59" s="37">
        <f>SUM(F55:F58)</f>
        <v>0</v>
      </c>
      <c r="G59" s="36">
        <f>SUM(G55:G58)</f>
        <v>17.184000000000001</v>
      </c>
      <c r="H59" s="37">
        <f>SUM(H55:H58)</f>
        <v>0</v>
      </c>
      <c r="I59" s="36">
        <f>SUM(I55:I58)</f>
        <v>20.448</v>
      </c>
      <c r="J59" s="37">
        <f>SUM(J55:J58)</f>
        <v>30.995000000000001</v>
      </c>
      <c r="K59" s="36">
        <f>SUM(K55:K58)</f>
        <v>67.479000000000013</v>
      </c>
      <c r="L59" s="37">
        <f>SUM(L55:L58)</f>
        <v>75.268000000000001</v>
      </c>
      <c r="M59" s="36">
        <f>SUM(M55:M58)</f>
        <v>63.21</v>
      </c>
      <c r="R59" s="36">
        <f t="shared" ref="R59:U59" si="56">SUM(R55:R58)</f>
        <v>0</v>
      </c>
      <c r="S59" s="36">
        <f t="shared" si="56"/>
        <v>0</v>
      </c>
      <c r="T59" s="36">
        <f t="shared" si="56"/>
        <v>20.873000000000001</v>
      </c>
      <c r="U59" s="36">
        <f t="shared" si="56"/>
        <v>30.995000000000001</v>
      </c>
      <c r="V59" s="36">
        <f>SUM(V55:V58)</f>
        <v>75.268000000000001</v>
      </c>
    </row>
    <row r="61" spans="2:23" s="36" customFormat="1" x14ac:dyDescent="0.2">
      <c r="B61" s="36" t="s">
        <v>99</v>
      </c>
      <c r="C61" s="36">
        <v>54.595999999999997</v>
      </c>
      <c r="D61" s="37"/>
      <c r="E61" s="36">
        <v>72.058999999999997</v>
      </c>
      <c r="F61" s="37"/>
      <c r="G61" s="36">
        <v>92.003</v>
      </c>
      <c r="H61" s="37"/>
      <c r="I61" s="36">
        <v>114.893</v>
      </c>
      <c r="J61" s="37">
        <f>U61</f>
        <v>252.46</v>
      </c>
      <c r="K61" s="36">
        <v>235.15</v>
      </c>
      <c r="L61" s="37">
        <f>V61</f>
        <v>252.46</v>
      </c>
      <c r="M61" s="36">
        <v>255.339</v>
      </c>
      <c r="N61" s="70"/>
      <c r="T61" s="36">
        <v>103.349</v>
      </c>
      <c r="U61" s="36">
        <v>252.46</v>
      </c>
      <c r="V61" s="36">
        <v>252.46</v>
      </c>
      <c r="W61" s="70"/>
    </row>
    <row r="62" spans="2:23" x14ac:dyDescent="0.2">
      <c r="B62" s="1" t="s">
        <v>100</v>
      </c>
      <c r="C62" s="36">
        <f>+C61+C59</f>
        <v>65.125999999999991</v>
      </c>
      <c r="E62" s="36">
        <f>+E61+E59</f>
        <v>85.408999999999992</v>
      </c>
      <c r="G62" s="36">
        <f>+G61+G59</f>
        <v>109.187</v>
      </c>
      <c r="I62" s="36">
        <f>+I61+I59</f>
        <v>135.34100000000001</v>
      </c>
      <c r="J62" s="37">
        <f>J61+J59</f>
        <v>283.45499999999998</v>
      </c>
      <c r="K62" s="36">
        <f>+K61+K59</f>
        <v>302.62900000000002</v>
      </c>
      <c r="L62" s="37">
        <f>L61+L59</f>
        <v>327.72800000000001</v>
      </c>
      <c r="M62" s="36">
        <f>+M61+M59</f>
        <v>318.54899999999998</v>
      </c>
      <c r="T62" s="36">
        <f t="shared" ref="T62:U62" si="57">+T61+T59</f>
        <v>124.22200000000001</v>
      </c>
      <c r="U62" s="36">
        <f t="shared" si="57"/>
        <v>283.45499999999998</v>
      </c>
      <c r="V62" s="36">
        <f>+V61+V59</f>
        <v>327.72800000000001</v>
      </c>
    </row>
    <row r="64" spans="2:23" x14ac:dyDescent="0.2">
      <c r="B64" s="1" t="s">
        <v>101</v>
      </c>
      <c r="C64" s="36">
        <f>C48-C59</f>
        <v>54.596000000000004</v>
      </c>
      <c r="E64" s="36">
        <f>E48-E59</f>
        <v>72.058999999999997</v>
      </c>
      <c r="G64" s="36">
        <f>G48-G59</f>
        <v>92.004000000000005</v>
      </c>
      <c r="I64" s="36">
        <f>I48-I59</f>
        <v>114.893</v>
      </c>
      <c r="J64" s="37">
        <f>J48-J59</f>
        <v>127.636</v>
      </c>
      <c r="K64" s="36">
        <f>K48-K59</f>
        <v>235.15</v>
      </c>
      <c r="L64" s="37">
        <f>L48-L59</f>
        <v>252.46000000000006</v>
      </c>
      <c r="M64" s="36">
        <f>M48-M59</f>
        <v>255.33899999999997</v>
      </c>
      <c r="T64" s="36">
        <f t="shared" ref="T64:U64" si="58">T48-T59</f>
        <v>103.34899999999999</v>
      </c>
      <c r="U64" s="36">
        <f t="shared" ref="U64:V64" si="59">U48-U59</f>
        <v>127.636</v>
      </c>
      <c r="V64" s="36">
        <f>V48-V59</f>
        <v>252.46000000000006</v>
      </c>
    </row>
    <row r="65" spans="2:23" x14ac:dyDescent="0.2">
      <c r="B65" s="1" t="s">
        <v>102</v>
      </c>
      <c r="C65" s="1">
        <f>C64/C16</f>
        <v>0.50887884816210394</v>
      </c>
      <c r="E65" s="1">
        <f>E64/E16</f>
        <v>0.557532047589541</v>
      </c>
      <c r="G65" s="1">
        <f>G64/G16</f>
        <v>0.71122238955664197</v>
      </c>
      <c r="I65" s="1">
        <f>I64/I16</f>
        <v>0.88767535476418813</v>
      </c>
      <c r="J65" s="27">
        <f>J64/J16</f>
        <v>0.98179390598562588</v>
      </c>
      <c r="K65" s="1">
        <f>K64/K16</f>
        <v>1.7086317350453724</v>
      </c>
      <c r="L65" s="27">
        <f>L64/L16</f>
        <v>1.7698556318399681</v>
      </c>
      <c r="M65" s="1">
        <f>M64/M16</f>
        <v>1.7765812637084786</v>
      </c>
      <c r="T65" s="1">
        <f t="shared" ref="T65" si="60">T64/T16</f>
        <v>0.79868854612741469</v>
      </c>
      <c r="U65" s="1">
        <f t="shared" ref="U65" si="61">U64/U16</f>
        <v>0.98179390598562588</v>
      </c>
      <c r="V65" s="1">
        <f>V64/V16</f>
        <v>1.7698556318399681</v>
      </c>
    </row>
    <row r="67" spans="2:23" s="47" customFormat="1" x14ac:dyDescent="0.2">
      <c r="B67" s="47" t="s">
        <v>6</v>
      </c>
      <c r="C67" s="49">
        <f>+C46</f>
        <v>16.666</v>
      </c>
      <c r="D67" s="48"/>
      <c r="E67" s="49">
        <f>+E46</f>
        <v>35.784999999999997</v>
      </c>
      <c r="F67" s="48"/>
      <c r="G67" s="49">
        <f>+G46</f>
        <v>50.375</v>
      </c>
      <c r="H67" s="48"/>
      <c r="I67" s="49">
        <f>+I46</f>
        <v>66.590999999999994</v>
      </c>
      <c r="J67" s="90">
        <f>J46</f>
        <v>55.302</v>
      </c>
      <c r="K67" s="49">
        <f>+K46</f>
        <v>51.295000000000002</v>
      </c>
      <c r="L67" s="90">
        <f>L46</f>
        <v>50.828000000000003</v>
      </c>
      <c r="M67" s="49">
        <f>+M46</f>
        <v>45.158999999999999</v>
      </c>
      <c r="N67" s="66"/>
      <c r="T67" s="49">
        <f t="shared" ref="T67:U67" si="62">+T46</f>
        <v>61.47</v>
      </c>
      <c r="U67" s="49">
        <f t="shared" ref="U67:V67" si="63">+U46</f>
        <v>55.302</v>
      </c>
      <c r="V67" s="49">
        <f>+V46</f>
        <v>50.828000000000003</v>
      </c>
      <c r="W67" s="66"/>
    </row>
    <row r="68" spans="2:23" s="47" customFormat="1" x14ac:dyDescent="0.2">
      <c r="B68" s="47" t="s">
        <v>7</v>
      </c>
      <c r="C68" s="47">
        <v>0</v>
      </c>
      <c r="D68" s="48"/>
      <c r="E68" s="47">
        <v>0</v>
      </c>
      <c r="F68" s="48"/>
      <c r="G68" s="47">
        <v>0</v>
      </c>
      <c r="H68" s="48"/>
      <c r="I68" s="47">
        <v>0</v>
      </c>
      <c r="J68" s="48">
        <v>0</v>
      </c>
      <c r="K68" s="47">
        <v>0</v>
      </c>
      <c r="L68" s="48">
        <v>0</v>
      </c>
      <c r="M68" s="47">
        <v>0</v>
      </c>
      <c r="N68" s="66"/>
      <c r="T68" s="47">
        <v>0</v>
      </c>
      <c r="U68" s="47">
        <v>0</v>
      </c>
      <c r="V68" s="47">
        <v>0</v>
      </c>
      <c r="W68" s="66"/>
    </row>
    <row r="69" spans="2:23" x14ac:dyDescent="0.2">
      <c r="B69" s="1" t="s">
        <v>8</v>
      </c>
      <c r="C69" s="36">
        <f>C67-C68</f>
        <v>16.666</v>
      </c>
      <c r="E69" s="36">
        <f>E67-E68</f>
        <v>35.784999999999997</v>
      </c>
      <c r="G69" s="36">
        <f>G67-G68</f>
        <v>50.375</v>
      </c>
      <c r="I69" s="36">
        <f>I67-I68</f>
        <v>66.590999999999994</v>
      </c>
      <c r="J69" s="37">
        <f>J67-J68</f>
        <v>55.302</v>
      </c>
      <c r="K69" s="36">
        <f>K67-K68</f>
        <v>51.295000000000002</v>
      </c>
      <c r="L69" s="37">
        <f>L67-L68</f>
        <v>50.828000000000003</v>
      </c>
      <c r="M69" s="36">
        <f>M67-M68</f>
        <v>45.158999999999999</v>
      </c>
      <c r="T69" s="36">
        <f t="shared" ref="T69" si="64">T67-T68</f>
        <v>61.47</v>
      </c>
      <c r="U69" s="36">
        <f t="shared" ref="U69" si="65">U67-U68</f>
        <v>55.302</v>
      </c>
      <c r="V69" s="36">
        <f>V67-V68</f>
        <v>50.828000000000003</v>
      </c>
    </row>
    <row r="71" spans="2:23" x14ac:dyDescent="0.2">
      <c r="B71" s="1" t="s">
        <v>103</v>
      </c>
    </row>
    <row r="72" spans="2:23" x14ac:dyDescent="0.2">
      <c r="B72" s="1" t="s">
        <v>5</v>
      </c>
    </row>
    <row r="73" spans="2:23" x14ac:dyDescent="0.2">
      <c r="B73" s="1" t="s">
        <v>9</v>
      </c>
    </row>
    <row r="75" spans="2:23" x14ac:dyDescent="0.2">
      <c r="B75" s="1" t="s">
        <v>105</v>
      </c>
    </row>
    <row r="76" spans="2:23" x14ac:dyDescent="0.2">
      <c r="B76" s="1" t="s">
        <v>106</v>
      </c>
    </row>
    <row r="77" spans="2:23" x14ac:dyDescent="0.2">
      <c r="B77" s="1" t="s">
        <v>107</v>
      </c>
    </row>
    <row r="78" spans="2:23" x14ac:dyDescent="0.2">
      <c r="B78" s="1" t="s">
        <v>108</v>
      </c>
    </row>
    <row r="79" spans="2:23" x14ac:dyDescent="0.2">
      <c r="B79" s="1" t="s">
        <v>109</v>
      </c>
    </row>
  </sheetData>
  <hyperlinks>
    <hyperlink ref="M1" r:id="rId1" xr:uid="{581DB942-8313-446E-848E-69D8EEF63C8F}"/>
    <hyperlink ref="I1" r:id="rId2" xr:uid="{20AFF553-6951-4E9A-B8FE-3BBE390E107B}"/>
    <hyperlink ref="E1" r:id="rId3" xr:uid="{9B3457DA-8AA8-4149-82B8-7C49E038BF1D}"/>
    <hyperlink ref="V1" r:id="rId4" xr:uid="{ACAE1031-C41A-4033-8065-45D2329E5734}"/>
    <hyperlink ref="S1" r:id="rId5" xr:uid="{305C4A1E-5464-4D6D-931B-AC3A5455A435}"/>
    <hyperlink ref="T1" r:id="rId6" xr:uid="{AAC00A93-4066-4F27-BDD8-00E00A0AFCB0}"/>
  </hyperlinks>
  <pageMargins left="0.7" right="0.7" top="0.75" bottom="0.75" header="0.3" footer="0.3"/>
  <pageSetup paperSize="125" orientation="portrait" horizontalDpi="203" verticalDpi="203" r:id="rId7"/>
  <ignoredErrors>
    <ignoredError sqref="J6:L16 H14 H12 H6:I11 H13:I13 I12 I14 E9 E8 G8 E12 E10:E11 G10:G11 E14 E13 G13 G9 G12 G14 F14 F12 F9 F6 D14 D12 D9 B6:D8 B10:D11 B9:C9 B13:D13 B12:C12 B15:D16 B14:C14 L31:L55 J38:J55 J62:L62 L67:L68 J67:J71 M12 M14 N9:N11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2023-10-02T13:03:26Z</dcterms:created>
  <dcterms:modified xsi:type="dcterms:W3CDTF">2023-10-06T12:47:28Z</dcterms:modified>
</cp:coreProperties>
</file>