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4A3FB38-9D4C-4033-AA4D-629AD6D4E025}" xr6:coauthVersionLast="36" xr6:coauthVersionMax="36" xr10:uidLastSave="{00000000-0000-0000-0000-000000000000}"/>
  <bookViews>
    <workbookView xWindow="0" yWindow="0" windowWidth="27435" windowHeight="11100" xr2:uid="{A0DE9234-8F94-41AD-8663-2284C148F32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10" i="1"/>
  <c r="C9" i="1"/>
  <c r="D11" i="1"/>
  <c r="D10" i="1"/>
  <c r="D9" i="1"/>
  <c r="AI23" i="2"/>
  <c r="AI18" i="2"/>
  <c r="AI17" i="2"/>
  <c r="AI16" i="2"/>
  <c r="Z23" i="2"/>
  <c r="Z18" i="2"/>
  <c r="Z17" i="2"/>
  <c r="Z16" i="2"/>
  <c r="Z6" i="2"/>
  <c r="Z13" i="2" s="1"/>
  <c r="R13" i="2"/>
  <c r="R12" i="2"/>
  <c r="R11" i="2"/>
  <c r="R14" i="2" s="1"/>
  <c r="R15" i="2" s="1"/>
  <c r="R19" i="2" s="1"/>
  <c r="R18" i="2"/>
  <c r="R17" i="2"/>
  <c r="R16" i="2"/>
  <c r="R20" i="2"/>
  <c r="R23" i="2"/>
  <c r="R6" i="2"/>
  <c r="R9" i="2"/>
  <c r="R10" i="2" s="1"/>
  <c r="R8" i="2"/>
  <c r="R7" i="2"/>
  <c r="R5" i="2"/>
  <c r="R4" i="2"/>
  <c r="AG80" i="2"/>
  <c r="AG79" i="2"/>
  <c r="AG78" i="2"/>
  <c r="AG74" i="2"/>
  <c r="AG75" i="2" s="1"/>
  <c r="AG71" i="2"/>
  <c r="AG70" i="2"/>
  <c r="AG69" i="2"/>
  <c r="AG67" i="2"/>
  <c r="AG66" i="2"/>
  <c r="AG64" i="2"/>
  <c r="AG55" i="2"/>
  <c r="AG61" i="2" s="1"/>
  <c r="AG48" i="2"/>
  <c r="AG45" i="2"/>
  <c r="AG42" i="2"/>
  <c r="AH32" i="2"/>
  <c r="AH31" i="2"/>
  <c r="AH30" i="2"/>
  <c r="AH29" i="2"/>
  <c r="AG32" i="2"/>
  <c r="AG31" i="2"/>
  <c r="AG30" i="2"/>
  <c r="AG29" i="2"/>
  <c r="AH26" i="2"/>
  <c r="AG22" i="2"/>
  <c r="AG19" i="2"/>
  <c r="AG21" i="2" s="1"/>
  <c r="AG15" i="2"/>
  <c r="AG14" i="2"/>
  <c r="AG9" i="2"/>
  <c r="AG10" i="2" s="1"/>
  <c r="AH66" i="2"/>
  <c r="AH67" i="2" s="1"/>
  <c r="AH77" i="2" s="1"/>
  <c r="AH71" i="2"/>
  <c r="AH70" i="2"/>
  <c r="AH69" i="2"/>
  <c r="AH74" i="2"/>
  <c r="AH78" i="2" s="1"/>
  <c r="AH73" i="2"/>
  <c r="X79" i="2"/>
  <c r="W79" i="2"/>
  <c r="V79" i="2"/>
  <c r="X78" i="2"/>
  <c r="W78" i="2"/>
  <c r="V78" i="2"/>
  <c r="X80" i="2"/>
  <c r="W80" i="2"/>
  <c r="Y80" i="2"/>
  <c r="Y79" i="2"/>
  <c r="Y78" i="2"/>
  <c r="V77" i="2"/>
  <c r="W27" i="2"/>
  <c r="V32" i="2"/>
  <c r="V31" i="2"/>
  <c r="V30" i="2"/>
  <c r="V29" i="2"/>
  <c r="V27" i="2"/>
  <c r="AH14" i="2"/>
  <c r="AH9" i="2"/>
  <c r="AH10" i="2" s="1"/>
  <c r="V23" i="2"/>
  <c r="V20" i="2"/>
  <c r="V18" i="2"/>
  <c r="V17" i="2"/>
  <c r="V16" i="2"/>
  <c r="V13" i="2"/>
  <c r="V12" i="2"/>
  <c r="V11" i="2"/>
  <c r="V8" i="2"/>
  <c r="V7" i="2"/>
  <c r="V9" i="2" s="1"/>
  <c r="V10" i="2" s="1"/>
  <c r="V6" i="2"/>
  <c r="V5" i="2"/>
  <c r="V4" i="2"/>
  <c r="Y77" i="2"/>
  <c r="X77" i="2"/>
  <c r="Y74" i="2"/>
  <c r="Y75" i="2" s="1"/>
  <c r="X74" i="2"/>
  <c r="X75" i="2" s="1"/>
  <c r="V74" i="2"/>
  <c r="V75" i="2" s="1"/>
  <c r="V67" i="2"/>
  <c r="Y71" i="2"/>
  <c r="Y70" i="2"/>
  <c r="Y69" i="2"/>
  <c r="Y66" i="2"/>
  <c r="Y67" i="2" s="1"/>
  <c r="Y64" i="2"/>
  <c r="Y61" i="2"/>
  <c r="Y55" i="2"/>
  <c r="Y48" i="2"/>
  <c r="Y45" i="2"/>
  <c r="Y42" i="2"/>
  <c r="C7" i="1"/>
  <c r="D7" i="1"/>
  <c r="U27" i="2"/>
  <c r="U29" i="2"/>
  <c r="U14" i="2"/>
  <c r="U9" i="2"/>
  <c r="U10" i="2" s="1"/>
  <c r="U6" i="2"/>
  <c r="Y26" i="2" s="1"/>
  <c r="Y32" i="2"/>
  <c r="Y31" i="2"/>
  <c r="Y30" i="2"/>
  <c r="Y29" i="2"/>
  <c r="Y27" i="2"/>
  <c r="Y22" i="2"/>
  <c r="Y21" i="2"/>
  <c r="Y19" i="2"/>
  <c r="Y15" i="2"/>
  <c r="Y14" i="2"/>
  <c r="Y10" i="2"/>
  <c r="Y9" i="2"/>
  <c r="Y6" i="2"/>
  <c r="AI13" i="2" l="1"/>
  <c r="Z9" i="2"/>
  <c r="AI9" i="2" s="1"/>
  <c r="Z26" i="2"/>
  <c r="Z11" i="2"/>
  <c r="AI11" i="2" s="1"/>
  <c r="Z12" i="2"/>
  <c r="AI12" i="2" s="1"/>
  <c r="AI6" i="2"/>
  <c r="R21" i="2"/>
  <c r="R22" i="2" s="1"/>
  <c r="AH75" i="2"/>
  <c r="AH79" i="2" s="1"/>
  <c r="AH15" i="2"/>
  <c r="AH19" i="2" s="1"/>
  <c r="AH21" i="2" s="1"/>
  <c r="AH22" i="2" s="1"/>
  <c r="AH80" i="2" s="1"/>
  <c r="V14" i="2"/>
  <c r="V15" i="2" s="1"/>
  <c r="V19" i="2" s="1"/>
  <c r="V21" i="2" s="1"/>
  <c r="V22" i="2" s="1"/>
  <c r="U15" i="2"/>
  <c r="AH63" i="2"/>
  <c r="AH60" i="2"/>
  <c r="AH59" i="2"/>
  <c r="AH58" i="2"/>
  <c r="AH57" i="2"/>
  <c r="AH54" i="2"/>
  <c r="AH53" i="2"/>
  <c r="AH52" i="2"/>
  <c r="AH51" i="2"/>
  <c r="AH50" i="2"/>
  <c r="AH55" i="2" s="1"/>
  <c r="AH56" i="2"/>
  <c r="AH47" i="2"/>
  <c r="AH46" i="2"/>
  <c r="AH45" i="2"/>
  <c r="AH44" i="2"/>
  <c r="AH48" i="2" s="1"/>
  <c r="AH43" i="2"/>
  <c r="AH42" i="2"/>
  <c r="AH41" i="2"/>
  <c r="AH40" i="2"/>
  <c r="AH39" i="2"/>
  <c r="AH38" i="2"/>
  <c r="AH37" i="2"/>
  <c r="V45" i="2"/>
  <c r="X45" i="2"/>
  <c r="M71" i="2"/>
  <c r="L71" i="2"/>
  <c r="K71" i="2"/>
  <c r="J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U71" i="2" s="1"/>
  <c r="T69" i="2"/>
  <c r="T71" i="2" s="1"/>
  <c r="S69" i="2"/>
  <c r="S71" i="2" s="1"/>
  <c r="R69" i="2"/>
  <c r="R71" i="2" s="1"/>
  <c r="Q69" i="2"/>
  <c r="Q71" i="2" s="1"/>
  <c r="P69" i="2"/>
  <c r="P71" i="2" s="1"/>
  <c r="O69" i="2"/>
  <c r="O71" i="2" s="1"/>
  <c r="N69" i="2"/>
  <c r="N71" i="2" s="1"/>
  <c r="M69" i="2"/>
  <c r="L69" i="2"/>
  <c r="K69" i="2"/>
  <c r="J69" i="2"/>
  <c r="I69" i="2"/>
  <c r="I71" i="2" s="1"/>
  <c r="H69" i="2"/>
  <c r="H71" i="2" s="1"/>
  <c r="G69" i="2"/>
  <c r="G71" i="2" s="1"/>
  <c r="F69" i="2"/>
  <c r="F71" i="2" s="1"/>
  <c r="E69" i="2"/>
  <c r="E71" i="2" s="1"/>
  <c r="D69" i="2"/>
  <c r="D71" i="2" s="1"/>
  <c r="C69" i="2"/>
  <c r="C71" i="2" s="1"/>
  <c r="X70" i="2"/>
  <c r="X69" i="2"/>
  <c r="X71" i="2" s="1"/>
  <c r="W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67" i="2"/>
  <c r="Q67" i="2"/>
  <c r="P67" i="2"/>
  <c r="O67" i="2"/>
  <c r="M67" i="2"/>
  <c r="L67" i="2"/>
  <c r="K67" i="2"/>
  <c r="F67" i="2"/>
  <c r="E67" i="2"/>
  <c r="D67" i="2"/>
  <c r="C67" i="2"/>
  <c r="U66" i="2"/>
  <c r="U67" i="2" s="1"/>
  <c r="T66" i="2"/>
  <c r="T67" i="2" s="1"/>
  <c r="S66" i="2"/>
  <c r="S67" i="2" s="1"/>
  <c r="R66" i="2"/>
  <c r="Q66" i="2"/>
  <c r="P66" i="2"/>
  <c r="O66" i="2"/>
  <c r="N66" i="2"/>
  <c r="N67" i="2" s="1"/>
  <c r="M66" i="2"/>
  <c r="L66" i="2"/>
  <c r="K66" i="2"/>
  <c r="J66" i="2"/>
  <c r="J67" i="2" s="1"/>
  <c r="I66" i="2"/>
  <c r="I67" i="2" s="1"/>
  <c r="H66" i="2"/>
  <c r="H67" i="2" s="1"/>
  <c r="G66" i="2"/>
  <c r="G67" i="2" s="1"/>
  <c r="F66" i="2"/>
  <c r="E66" i="2"/>
  <c r="D66" i="2"/>
  <c r="C66" i="2"/>
  <c r="X55" i="2"/>
  <c r="X61" i="2" s="1"/>
  <c r="X64" i="2" s="1"/>
  <c r="V55" i="2"/>
  <c r="V61" i="2" s="1"/>
  <c r="V64" i="2" s="1"/>
  <c r="U55" i="2"/>
  <c r="U61" i="2" s="1"/>
  <c r="T55" i="2"/>
  <c r="T61" i="2" s="1"/>
  <c r="S55" i="2"/>
  <c r="S61" i="2" s="1"/>
  <c r="R55" i="2"/>
  <c r="R61" i="2" s="1"/>
  <c r="Q55" i="2"/>
  <c r="P55" i="2"/>
  <c r="O55" i="2"/>
  <c r="N55" i="2"/>
  <c r="M55" i="2"/>
  <c r="M61" i="2" s="1"/>
  <c r="L55" i="2"/>
  <c r="L61" i="2" s="1"/>
  <c r="K55" i="2"/>
  <c r="K61" i="2" s="1"/>
  <c r="J55" i="2"/>
  <c r="J61" i="2" s="1"/>
  <c r="I55" i="2"/>
  <c r="I61" i="2" s="1"/>
  <c r="H55" i="2"/>
  <c r="H61" i="2" s="1"/>
  <c r="G55" i="2"/>
  <c r="G61" i="2" s="1"/>
  <c r="F55" i="2"/>
  <c r="F61" i="2" s="1"/>
  <c r="E55" i="2"/>
  <c r="D55" i="2"/>
  <c r="C55" i="2"/>
  <c r="Q61" i="2"/>
  <c r="P61" i="2"/>
  <c r="O61" i="2"/>
  <c r="N61" i="2"/>
  <c r="E61" i="2"/>
  <c r="D61" i="2"/>
  <c r="C61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2" i="2"/>
  <c r="V48" i="2" s="1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2" i="2"/>
  <c r="AI14" i="2" l="1"/>
  <c r="Z10" i="2"/>
  <c r="Z14" i="2"/>
  <c r="Z15" i="2" s="1"/>
  <c r="AI10" i="2"/>
  <c r="AI29" i="2" s="1"/>
  <c r="AI26" i="2"/>
  <c r="AJ6" i="2"/>
  <c r="AK6" i="2" s="1"/>
  <c r="AL6" i="2" s="1"/>
  <c r="AM6" i="2" s="1"/>
  <c r="AN6" i="2" s="1"/>
  <c r="AO6" i="2" s="1"/>
  <c r="AP6" i="2" s="1"/>
  <c r="AQ6" i="2" s="1"/>
  <c r="AR6" i="2" s="1"/>
  <c r="U19" i="2"/>
  <c r="U30" i="2"/>
  <c r="V71" i="2"/>
  <c r="V66" i="2"/>
  <c r="AH61" i="2"/>
  <c r="AH64" i="2" s="1"/>
  <c r="X48" i="2"/>
  <c r="X66" i="2" s="1"/>
  <c r="X67" i="2" s="1"/>
  <c r="AG6" i="2"/>
  <c r="AF6" i="2"/>
  <c r="AF5" i="2"/>
  <c r="AF4" i="2"/>
  <c r="T27" i="2"/>
  <c r="X26" i="2"/>
  <c r="W22" i="2"/>
  <c r="T14" i="2"/>
  <c r="T9" i="2"/>
  <c r="T10" i="2" s="1"/>
  <c r="T29" i="2" s="1"/>
  <c r="T6" i="2"/>
  <c r="X15" i="2"/>
  <c r="X30" i="2" s="1"/>
  <c r="X14" i="2"/>
  <c r="X27" i="2"/>
  <c r="X29" i="2"/>
  <c r="X10" i="2"/>
  <c r="X9" i="2"/>
  <c r="X6" i="2"/>
  <c r="W74" i="2"/>
  <c r="Z30" i="2" l="1"/>
  <c r="Z19" i="2"/>
  <c r="AI15" i="2"/>
  <c r="U21" i="2"/>
  <c r="U32" i="2"/>
  <c r="T15" i="2"/>
  <c r="AH6" i="2"/>
  <c r="X19" i="2"/>
  <c r="W71" i="2"/>
  <c r="W75" i="2" s="1"/>
  <c r="W70" i="2"/>
  <c r="W69" i="2"/>
  <c r="W61" i="2"/>
  <c r="W55" i="2"/>
  <c r="W48" i="2"/>
  <c r="W45" i="2"/>
  <c r="W42" i="2"/>
  <c r="S14" i="2"/>
  <c r="W14" i="2"/>
  <c r="W26" i="2"/>
  <c r="W9" i="2"/>
  <c r="S9" i="2"/>
  <c r="S6" i="2"/>
  <c r="W6" i="2"/>
  <c r="Z20" i="2" l="1"/>
  <c r="AI20" i="2" s="1"/>
  <c r="AI19" i="2"/>
  <c r="AI21" i="2" s="1"/>
  <c r="AI30" i="2"/>
  <c r="U31" i="2"/>
  <c r="U22" i="2"/>
  <c r="T30" i="2"/>
  <c r="T19" i="2"/>
  <c r="X32" i="2"/>
  <c r="X21" i="2"/>
  <c r="W66" i="2"/>
  <c r="W67" i="2" s="1"/>
  <c r="W77" i="2" s="1"/>
  <c r="S10" i="2"/>
  <c r="W10" i="2"/>
  <c r="AI22" i="2" l="1"/>
  <c r="AI31" i="2"/>
  <c r="Z21" i="2"/>
  <c r="AI32" i="2"/>
  <c r="T32" i="2"/>
  <c r="T21" i="2"/>
  <c r="X22" i="2"/>
  <c r="X31" i="2"/>
  <c r="S29" i="2"/>
  <c r="S15" i="2"/>
  <c r="W29" i="2"/>
  <c r="W15" i="2"/>
  <c r="C11" i="1"/>
  <c r="C8" i="1"/>
  <c r="C12" i="1" l="1"/>
  <c r="Z22" i="2"/>
  <c r="Z31" i="2"/>
  <c r="T22" i="2"/>
  <c r="T31" i="2"/>
  <c r="S30" i="2"/>
  <c r="S19" i="2"/>
  <c r="W19" i="2"/>
  <c r="W30" i="2"/>
  <c r="S21" i="2" l="1"/>
  <c r="S32" i="2"/>
  <c r="W21" i="2"/>
  <c r="W32" i="2"/>
  <c r="S22" i="2" l="1"/>
  <c r="V80" i="2" s="1"/>
  <c r="S31" i="2"/>
  <c r="W31" i="2"/>
</calcChain>
</file>

<file path=xl/sharedStrings.xml><?xml version="1.0" encoding="utf-8"?>
<sst xmlns="http://schemas.openxmlformats.org/spreadsheetml/2006/main" count="166" uniqueCount="144">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</sst>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0" fontId="2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25</xdr:col>
      <xdr:colOff>0</xdr:colOff>
      <xdr:row>85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637347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0</xdr:row>
      <xdr:rowOff>0</xdr:rowOff>
    </xdr:from>
    <xdr:to>
      <xdr:col>34</xdr:col>
      <xdr:colOff>9525</xdr:colOff>
      <xdr:row>85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1869400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ongodb.com/node/10526/html" TargetMode="External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vestors.mongodb.com/node/9441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tabSelected="1"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51" t="s">
        <v>1</v>
      </c>
      <c r="C5" s="52"/>
      <c r="D5" s="53"/>
      <c r="G5" s="51" t="s">
        <v>25</v>
      </c>
      <c r="H5" s="52"/>
      <c r="I5" s="52"/>
      <c r="J5" s="52"/>
      <c r="K5" s="52"/>
      <c r="L5" s="52"/>
      <c r="M5" s="52"/>
      <c r="N5" s="52"/>
      <c r="O5" s="52"/>
      <c r="P5" s="52"/>
      <c r="Q5" s="53"/>
      <c r="T5" s="46" t="s">
        <v>34</v>
      </c>
      <c r="U5" s="46"/>
      <c r="V5" s="46"/>
      <c r="W5" s="46"/>
      <c r="Z5" s="46" t="s">
        <v>131</v>
      </c>
      <c r="AA5" s="46"/>
      <c r="AB5" s="46"/>
    </row>
    <row r="6" spans="1:28" x14ac:dyDescent="0.2">
      <c r="B6" s="3" t="s">
        <v>2</v>
      </c>
      <c r="C6" s="4">
        <v>191.75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Model'!Y23</f>
        <v>68.916813000000005</v>
      </c>
      <c r="D7" s="10" t="str">
        <f>$C$28</f>
        <v>FQ323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13214.798892750001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Model'!Y69</f>
        <v>1787.5319999999999</v>
      </c>
      <c r="D9" s="10" t="str">
        <f t="shared" ref="D9:D11" si="0">$C$28</f>
        <v>FQ323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Model'!Y70</f>
        <v>1139.0419999999999</v>
      </c>
      <c r="D10" s="10" t="str">
        <f t="shared" si="0"/>
        <v>FQ323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648.49</v>
      </c>
      <c r="D11" s="10" t="str">
        <f t="shared" si="0"/>
        <v>FQ323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12566.308892750001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51" t="s">
        <v>9</v>
      </c>
      <c r="C15" s="52"/>
      <c r="D15" s="53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47" t="s">
        <v>27</v>
      </c>
      <c r="D16" s="48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47" t="s">
        <v>31</v>
      </c>
      <c r="D17" s="48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47" t="s">
        <v>33</v>
      </c>
      <c r="D18" s="48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54" t="s">
        <v>30</v>
      </c>
      <c r="D19" s="55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51" t="s">
        <v>14</v>
      </c>
      <c r="C22" s="52"/>
      <c r="D22" s="53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47" t="s">
        <v>141</v>
      </c>
      <c r="D23" s="48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47">
        <v>2007</v>
      </c>
      <c r="D24" s="48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47">
        <v>2017</v>
      </c>
      <c r="D25" s="48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/>
      <c r="C26" s="47"/>
      <c r="D26" s="48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47"/>
      <c r="D27" s="48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71</v>
      </c>
      <c r="D28" s="26">
        <v>44901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49" t="s">
        <v>130</v>
      </c>
      <c r="D29" s="50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51" t="s">
        <v>19</v>
      </c>
      <c r="C32" s="52"/>
      <c r="D32" s="53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71">
        <f>C6/'Financial Model'!Y67</f>
        <v>19.311919490429393</v>
      </c>
      <c r="D33" s="72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71">
        <f>C8/SUM('Financial Model'!V6:Y6)</f>
        <v>11.112137929461445</v>
      </c>
      <c r="D34" s="72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47"/>
      <c r="D35" s="48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47"/>
      <c r="D36" s="48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47"/>
      <c r="D37" s="48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47"/>
      <c r="D38" s="48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AR82"/>
  <sheetViews>
    <sheetView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F30" sqref="AF30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59"/>
    <col min="27" max="34" width="9.140625" style="1"/>
    <col min="35" max="35" width="9.140625" style="64"/>
    <col min="36" max="16384" width="9.140625" style="1"/>
  </cols>
  <sheetData>
    <row r="1" spans="2:44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61" t="s">
        <v>90</v>
      </c>
      <c r="AD1" s="23" t="s">
        <v>56</v>
      </c>
      <c r="AE1" s="23" t="s">
        <v>57</v>
      </c>
      <c r="AF1" s="23" t="s">
        <v>58</v>
      </c>
      <c r="AG1" s="23" t="s">
        <v>59</v>
      </c>
      <c r="AH1" s="35" t="s">
        <v>60</v>
      </c>
      <c r="AI1" s="68" t="s">
        <v>61</v>
      </c>
      <c r="AJ1" s="23" t="s">
        <v>62</v>
      </c>
      <c r="AK1" s="23" t="s">
        <v>63</v>
      </c>
      <c r="AL1" s="23" t="s">
        <v>64</v>
      </c>
      <c r="AM1" s="23" t="s">
        <v>65</v>
      </c>
      <c r="AN1" s="23" t="s">
        <v>66</v>
      </c>
      <c r="AO1" s="23" t="s">
        <v>67</v>
      </c>
      <c r="AP1" s="23" t="s">
        <v>68</v>
      </c>
      <c r="AQ1" s="23" t="s">
        <v>69</v>
      </c>
      <c r="AR1" s="23" t="s">
        <v>70</v>
      </c>
    </row>
    <row r="2" spans="2:44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60" t="s">
        <v>143</v>
      </c>
      <c r="AG2" s="28">
        <v>44227</v>
      </c>
      <c r="AH2" s="28">
        <v>44592</v>
      </c>
      <c r="AI2" s="69" t="s">
        <v>143</v>
      </c>
    </row>
    <row r="3" spans="2:44" s="24" customFormat="1" x14ac:dyDescent="0.2">
      <c r="B3" s="25"/>
      <c r="Z3" s="60"/>
      <c r="AH3" s="56">
        <v>44638</v>
      </c>
      <c r="AI3" s="69"/>
    </row>
    <row r="4" spans="2:44" s="38" customFormat="1" x14ac:dyDescent="0.2">
      <c r="B4" s="29" t="s">
        <v>80</v>
      </c>
      <c r="R4" s="34">
        <f>AG4-SUM(O4:Q4)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AH4-SUM(S4:U4)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59"/>
      <c r="AF4" s="38">
        <f>SUM(K4:N4)</f>
        <v>0</v>
      </c>
      <c r="AG4" s="38">
        <v>565.34900000000005</v>
      </c>
      <c r="AH4" s="34">
        <v>842.04700000000003</v>
      </c>
      <c r="AI4" s="64"/>
    </row>
    <row r="5" spans="2:44" s="38" customFormat="1" x14ac:dyDescent="0.2">
      <c r="B5" s="29" t="s">
        <v>81</v>
      </c>
      <c r="R5" s="34">
        <f>AG5-SUM(O5:Q5)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AH5-SUM(S5:U5)</f>
        <v>8.2689999999999984</v>
      </c>
      <c r="W5" s="34">
        <v>10.866</v>
      </c>
      <c r="X5" s="42">
        <v>12.053000000000001</v>
      </c>
      <c r="Y5" s="34">
        <v>12.865</v>
      </c>
      <c r="Z5" s="59"/>
      <c r="AF5" s="38">
        <f>SUM(K5:N5)</f>
        <v>0</v>
      </c>
      <c r="AG5" s="38">
        <v>25.030999999999999</v>
      </c>
      <c r="AH5" s="34">
        <v>31.734999999999999</v>
      </c>
      <c r="AI5" s="64"/>
    </row>
    <row r="6" spans="2:44" s="2" customFormat="1" x14ac:dyDescent="0.2">
      <c r="B6" s="2" t="s">
        <v>76</v>
      </c>
      <c r="R6" s="31">
        <f>R4+R5</f>
        <v>590.38</v>
      </c>
      <c r="S6" s="31">
        <f>S4+S5</f>
        <v>181.648</v>
      </c>
      <c r="T6" s="31">
        <f>T4+T5</f>
        <v>198.74700000000001</v>
      </c>
      <c r="U6" s="31">
        <f>U4+U5</f>
        <v>226.893</v>
      </c>
      <c r="V6" s="31">
        <f>V4+V5</f>
        <v>266.49400000000003</v>
      </c>
      <c r="W6" s="31">
        <f>W4+W5</f>
        <v>285.447</v>
      </c>
      <c r="X6" s="41">
        <f>X4+X5</f>
        <v>303.66000000000003</v>
      </c>
      <c r="Y6" s="31">
        <f>Y4+Y5</f>
        <v>333.62099999999998</v>
      </c>
      <c r="Z6" s="62">
        <f>Y6*(1+Z27)</f>
        <v>373.65552000000002</v>
      </c>
      <c r="AF6" s="41">
        <f>AF4+AF5</f>
        <v>0</v>
      </c>
      <c r="AG6" s="41">
        <f>AG4+AG5</f>
        <v>590.38</v>
      </c>
      <c r="AH6" s="41">
        <f>AH4+AH5</f>
        <v>873.78200000000004</v>
      </c>
      <c r="AI6" s="62">
        <f>SUM(W6:Z6)</f>
        <v>1296.3835199999999</v>
      </c>
      <c r="AJ6" s="31">
        <f>AI6*(1+AJ26)</f>
        <v>1970.5029503999999</v>
      </c>
      <c r="AK6" s="31">
        <f t="shared" ref="AK6:AR6" si="0">AJ6*(1+AK26)</f>
        <v>2916.3443665919999</v>
      </c>
      <c r="AL6" s="31">
        <f t="shared" si="0"/>
        <v>3937.0648948992002</v>
      </c>
      <c r="AM6" s="31">
        <f t="shared" si="0"/>
        <v>4921.3311186240007</v>
      </c>
      <c r="AN6" s="31">
        <f t="shared" si="0"/>
        <v>5905.5973423488003</v>
      </c>
      <c r="AO6" s="31">
        <f t="shared" si="0"/>
        <v>6791.4369437011201</v>
      </c>
      <c r="AP6" s="31">
        <f t="shared" si="0"/>
        <v>7810.152485256287</v>
      </c>
      <c r="AQ6" s="31">
        <f t="shared" si="0"/>
        <v>8981.6753580447294</v>
      </c>
      <c r="AR6" s="31">
        <f t="shared" si="0"/>
        <v>10328.926661751439</v>
      </c>
    </row>
    <row r="7" spans="2:44" s="38" customFormat="1" x14ac:dyDescent="0.2">
      <c r="B7" s="29" t="s">
        <v>78</v>
      </c>
      <c r="R7" s="34">
        <f t="shared" ref="R7:R8" si="1">AG7-SUM(O7:Q7)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2">AH7-SUM(S7:U7)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63"/>
      <c r="AG7" s="38">
        <v>145.28</v>
      </c>
      <c r="AH7" s="38">
        <v>217.90100000000001</v>
      </c>
      <c r="AI7" s="64"/>
    </row>
    <row r="8" spans="2:44" s="38" customFormat="1" x14ac:dyDescent="0.2">
      <c r="B8" s="29" t="s">
        <v>79</v>
      </c>
      <c r="R8" s="34">
        <f t="shared" si="1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2"/>
        <v>11.632000000000005</v>
      </c>
      <c r="W8" s="38">
        <v>13.646000000000001</v>
      </c>
      <c r="X8" s="42">
        <v>16.841999999999999</v>
      </c>
      <c r="Y8" s="34">
        <v>16.501999999999999</v>
      </c>
      <c r="Z8" s="59"/>
      <c r="AG8" s="38">
        <v>31.795999999999999</v>
      </c>
      <c r="AH8" s="38">
        <v>41.591000000000001</v>
      </c>
      <c r="AI8" s="64"/>
    </row>
    <row r="9" spans="2:44" x14ac:dyDescent="0.2">
      <c r="B9" s="1" t="s">
        <v>77</v>
      </c>
      <c r="R9" s="30">
        <f t="shared" ref="R9" si="3">R7+R8</f>
        <v>177.07599999999999</v>
      </c>
      <c r="S9" s="1">
        <f>S7+S8</f>
        <v>54.527999999999999</v>
      </c>
      <c r="T9" s="1">
        <f t="shared" ref="T9:U9" si="4">T7+T8</f>
        <v>60.701999999999998</v>
      </c>
      <c r="U9" s="30">
        <f t="shared" si="4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5">X7+X8</f>
        <v>88.277000000000001</v>
      </c>
      <c r="Y9" s="30">
        <f t="shared" si="5"/>
        <v>93.652000000000001</v>
      </c>
      <c r="Z9" s="67">
        <f>Z6*(1-Z29)</f>
        <v>104.62354560000001</v>
      </c>
      <c r="AG9" s="30">
        <f t="shared" ref="AG9:AH9" si="6">AG7+AG8</f>
        <v>177.07599999999999</v>
      </c>
      <c r="AH9" s="30">
        <f t="shared" si="6"/>
        <v>259.49200000000002</v>
      </c>
      <c r="AI9" s="64">
        <f>SUM(W9:Z9)</f>
        <v>364.76754560000001</v>
      </c>
    </row>
    <row r="10" spans="2:44" s="2" customFormat="1" x14ac:dyDescent="0.2">
      <c r="B10" s="2" t="s">
        <v>82</v>
      </c>
      <c r="R10" s="31">
        <f t="shared" ref="R10" si="7">R6-R9</f>
        <v>413.30399999999997</v>
      </c>
      <c r="S10" s="31">
        <f>S6-S9</f>
        <v>127.12</v>
      </c>
      <c r="T10" s="31">
        <f t="shared" ref="T10:U10" si="8">T6-T9</f>
        <v>138.04500000000002</v>
      </c>
      <c r="U10" s="31">
        <f t="shared" si="8"/>
        <v>158.429</v>
      </c>
      <c r="V10" s="31">
        <f>V6-V9</f>
        <v>190.69600000000003</v>
      </c>
      <c r="W10" s="31">
        <f>W6-W9</f>
        <v>207.232</v>
      </c>
      <c r="X10" s="41">
        <f t="shared" ref="X10:Y10" si="9">X6-X9</f>
        <v>215.38300000000004</v>
      </c>
      <c r="Y10" s="31">
        <f t="shared" si="9"/>
        <v>239.96899999999999</v>
      </c>
      <c r="Z10" s="62">
        <f>Z6-Z9</f>
        <v>269.03197440000002</v>
      </c>
      <c r="AG10" s="31">
        <f t="shared" ref="AG10:AH10" si="10">AG6-AG9</f>
        <v>413.30399999999997</v>
      </c>
      <c r="AH10" s="31">
        <f t="shared" si="10"/>
        <v>614.29</v>
      </c>
      <c r="AI10" s="62">
        <f>AI6-AI9</f>
        <v>931.61597439999991</v>
      </c>
    </row>
    <row r="11" spans="2:44" s="30" customFormat="1" x14ac:dyDescent="0.2">
      <c r="B11" s="30" t="s">
        <v>91</v>
      </c>
      <c r="R11" s="30">
        <f t="shared" ref="R11:R13" si="11">AG11-SUM(O11:Q11)</f>
        <v>325.10000000000002</v>
      </c>
      <c r="S11" s="30">
        <v>97.89</v>
      </c>
      <c r="T11" s="30">
        <v>109.377</v>
      </c>
      <c r="U11" s="30">
        <v>120.36</v>
      </c>
      <c r="V11" s="30">
        <f>AH11-SUM(S11:U11)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64">
        <f>Z6*0.53</f>
        <v>198.03742560000003</v>
      </c>
      <c r="AB11" s="36"/>
      <c r="AC11" s="36"/>
      <c r="AD11" s="36"/>
      <c r="AE11" s="36"/>
      <c r="AG11" s="30">
        <v>325.10000000000002</v>
      </c>
      <c r="AH11" s="30">
        <v>471.89</v>
      </c>
      <c r="AI11" s="64">
        <f t="shared" ref="AI11:AI13" si="12">SUM(W11:Z11)</f>
        <v>707.32242559999997</v>
      </c>
    </row>
    <row r="12" spans="2:44" s="30" customFormat="1" x14ac:dyDescent="0.2">
      <c r="B12" s="30" t="s">
        <v>92</v>
      </c>
      <c r="R12" s="30">
        <f t="shared" si="11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3">AH12-SUM(S12:U12)</f>
        <v>89.417000000000002</v>
      </c>
      <c r="W12" s="30">
        <v>96.372</v>
      </c>
      <c r="X12" s="30">
        <v>108.03700000000001</v>
      </c>
      <c r="Y12" s="30">
        <v>106.392</v>
      </c>
      <c r="Z12" s="64">
        <f>Z6*0.31</f>
        <v>115.83321120000001</v>
      </c>
      <c r="AB12" s="36"/>
      <c r="AC12" s="36"/>
      <c r="AD12" s="36"/>
      <c r="AE12" s="36"/>
      <c r="AG12" s="30">
        <v>205.161</v>
      </c>
      <c r="AH12" s="30">
        <v>308.82</v>
      </c>
      <c r="AI12" s="64">
        <f t="shared" si="12"/>
        <v>426.63421119999998</v>
      </c>
    </row>
    <row r="13" spans="2:44" s="30" customFormat="1" x14ac:dyDescent="0.2">
      <c r="B13" s="30" t="s">
        <v>93</v>
      </c>
      <c r="R13" s="30">
        <f t="shared" si="11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3"/>
        <v>35.635000000000005</v>
      </c>
      <c r="W13" s="30">
        <v>36.531999999999996</v>
      </c>
      <c r="X13" s="30">
        <v>40.591000000000001</v>
      </c>
      <c r="Y13" s="30">
        <v>39.081000000000003</v>
      </c>
      <c r="Z13" s="64">
        <f>Z6*0.12</f>
        <v>44.838662400000004</v>
      </c>
      <c r="AB13" s="36"/>
      <c r="AC13" s="36"/>
      <c r="AD13" s="36"/>
      <c r="AE13" s="36"/>
      <c r="AG13" s="30">
        <v>92.346999999999994</v>
      </c>
      <c r="AH13" s="30">
        <v>122.944</v>
      </c>
      <c r="AI13" s="64">
        <f t="shared" si="12"/>
        <v>161.04266239999998</v>
      </c>
    </row>
    <row r="14" spans="2:44" s="30" customFormat="1" x14ac:dyDescent="0.2">
      <c r="B14" s="30" t="s">
        <v>94</v>
      </c>
      <c r="R14" s="30">
        <f t="shared" ref="R14" si="14">R11+R12+R13</f>
        <v>622.60799999999995</v>
      </c>
      <c r="S14" s="30">
        <f>S11+S12+S13</f>
        <v>188.56600000000003</v>
      </c>
      <c r="T14" s="30">
        <f t="shared" ref="T14:U14" si="15">T11+T12+T13</f>
        <v>210.57599999999999</v>
      </c>
      <c r="U14" s="30">
        <f t="shared" si="15"/>
        <v>235.197</v>
      </c>
      <c r="V14" s="30">
        <f t="shared" ref="V14" si="16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:Z14" si="17">Y11+Y12+Y13</f>
        <v>322.89200000000005</v>
      </c>
      <c r="Z14" s="64">
        <f t="shared" si="17"/>
        <v>358.70929920000003</v>
      </c>
      <c r="AG14" s="30">
        <f t="shared" ref="AG14" si="18">AG11+AG12+AG13</f>
        <v>622.60799999999995</v>
      </c>
      <c r="AH14" s="30">
        <f t="shared" ref="AH14:AI14" si="19">AH11+AH12+AH13</f>
        <v>903.654</v>
      </c>
      <c r="AI14" s="64">
        <f t="shared" si="19"/>
        <v>1294.9992992</v>
      </c>
    </row>
    <row r="15" spans="2:44" s="31" customFormat="1" x14ac:dyDescent="0.2">
      <c r="B15" s="31" t="s">
        <v>95</v>
      </c>
      <c r="R15" s="31">
        <f t="shared" ref="R15" si="20">R10-R14</f>
        <v>-209.30399999999997</v>
      </c>
      <c r="S15" s="31">
        <f>S10-S14</f>
        <v>-61.446000000000026</v>
      </c>
      <c r="T15" s="31">
        <f t="shared" ref="T15:U15" si="21">T10-T14</f>
        <v>-72.530999999999977</v>
      </c>
      <c r="U15" s="31">
        <f t="shared" si="21"/>
        <v>-76.768000000000001</v>
      </c>
      <c r="V15" s="31">
        <f t="shared" ref="V15" si="22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:Z15" si="23">Y10-Y14</f>
        <v>-82.923000000000059</v>
      </c>
      <c r="Z15" s="62">
        <f t="shared" si="23"/>
        <v>-89.677324800000008</v>
      </c>
      <c r="AG15" s="31">
        <f t="shared" ref="AG15" si="24">AG10-AG14</f>
        <v>-209.30399999999997</v>
      </c>
      <c r="AH15" s="31">
        <f t="shared" ref="AH15:AI15" si="25">AH10-AH14</f>
        <v>-289.36400000000003</v>
      </c>
      <c r="AI15" s="62">
        <f t="shared" si="25"/>
        <v>-363.38332480000008</v>
      </c>
    </row>
    <row r="16" spans="2:44" s="30" customFormat="1" x14ac:dyDescent="0.2">
      <c r="B16" s="30" t="s">
        <v>96</v>
      </c>
      <c r="R16" s="30">
        <f t="shared" ref="R16:R18" si="26">AG16-SUM(O16:Q16)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27">AH16-SUM(S16:U16)</f>
        <v>0.39200000000000013</v>
      </c>
      <c r="W16" s="30">
        <v>0.624</v>
      </c>
      <c r="X16" s="30">
        <v>1.68</v>
      </c>
      <c r="Y16" s="30">
        <v>6.9320000000000004</v>
      </c>
      <c r="Z16" s="64">
        <f>AVERAGE(V16:Y16)</f>
        <v>2.407</v>
      </c>
      <c r="AB16" s="36"/>
      <c r="AG16" s="30">
        <v>4.569</v>
      </c>
      <c r="AH16" s="30">
        <v>0.92600000000000005</v>
      </c>
      <c r="AI16" s="64">
        <f t="shared" ref="AI16:AI20" si="28">SUM(W16:Z16)</f>
        <v>11.643000000000001</v>
      </c>
    </row>
    <row r="17" spans="2:44" s="30" customFormat="1" x14ac:dyDescent="0.2">
      <c r="B17" s="30" t="s">
        <v>97</v>
      </c>
      <c r="R17" s="30">
        <f t="shared" si="26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27"/>
        <v>7.6989999999999998</v>
      </c>
      <c r="W17" s="30">
        <v>2.4529999999999998</v>
      </c>
      <c r="X17" s="30">
        <v>2.4289999999999998</v>
      </c>
      <c r="Y17" s="30">
        <v>2.4969999999999999</v>
      </c>
      <c r="Z17" s="64">
        <f>AVERAGE(V17:Y17)</f>
        <v>3.7694999999999999</v>
      </c>
      <c r="AG17" s="30">
        <v>56.106999999999999</v>
      </c>
      <c r="AH17" s="30">
        <v>11.316000000000001</v>
      </c>
      <c r="AI17" s="64">
        <f t="shared" si="28"/>
        <v>11.148499999999999</v>
      </c>
    </row>
    <row r="18" spans="2:44" s="30" customFormat="1" x14ac:dyDescent="0.2">
      <c r="B18" s="30" t="s">
        <v>98</v>
      </c>
      <c r="R18" s="30">
        <f t="shared" si="26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27"/>
        <v>-2.1499999999999995</v>
      </c>
      <c r="W18" s="30">
        <v>1.621</v>
      </c>
      <c r="X18" s="30">
        <v>-0.224</v>
      </c>
      <c r="Y18" s="30">
        <v>-1.3180000000000001</v>
      </c>
      <c r="Z18" s="64">
        <f>AVERAGE(V18:Y18)</f>
        <v>-0.51774999999999993</v>
      </c>
      <c r="AG18" s="30">
        <v>-1.851</v>
      </c>
      <c r="AH18" s="30">
        <v>-3.1349999999999998</v>
      </c>
      <c r="AI18" s="64">
        <f t="shared" si="28"/>
        <v>-0.43874999999999997</v>
      </c>
    </row>
    <row r="19" spans="2:44" s="30" customFormat="1" x14ac:dyDescent="0.2">
      <c r="B19" s="30" t="s">
        <v>99</v>
      </c>
      <c r="R19" s="30">
        <f>R15+R16-R17+R18</f>
        <v>-262.69299999999998</v>
      </c>
      <c r="S19" s="30">
        <f>S15+S16-S17+S18</f>
        <v>-65.368000000000023</v>
      </c>
      <c r="T19" s="30">
        <f>T15+T16-T17+T18</f>
        <v>-75.594999999999985</v>
      </c>
      <c r="U19" s="30">
        <f>U15+U16-U17+U18</f>
        <v>-73.850000000000009</v>
      </c>
      <c r="V19" s="30">
        <f>V15+V16-V17+V18</f>
        <v>-88.075999999999979</v>
      </c>
      <c r="W19" s="30">
        <f>W15+W16-W17+W18</f>
        <v>-76.147999999999982</v>
      </c>
      <c r="X19" s="30">
        <f>X15+X16-X17+X18</f>
        <v>-115.81599999999996</v>
      </c>
      <c r="Y19" s="30">
        <f>Y15+Y16-Y17+Y18</f>
        <v>-79.806000000000054</v>
      </c>
      <c r="Z19" s="64">
        <f>Z15+Z16-Z17+Z18</f>
        <v>-91.557574800000012</v>
      </c>
      <c r="AG19" s="30">
        <f>AG15+AG16-AG17+AG18</f>
        <v>-262.69299999999998</v>
      </c>
      <c r="AH19" s="30">
        <f>AH15+AH16-AH17+AH18</f>
        <v>-302.88900000000001</v>
      </c>
      <c r="AI19" s="64">
        <f>AI15+AI16-AI17+AI18</f>
        <v>-363.32757480000009</v>
      </c>
    </row>
    <row r="20" spans="2:44" s="30" customFormat="1" x14ac:dyDescent="0.2">
      <c r="B20" s="30" t="s">
        <v>100</v>
      </c>
      <c r="R20" s="30">
        <f>AG20-SUM(O20:Q20)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27"/>
        <v>1.5659999999999994</v>
      </c>
      <c r="W20" s="30">
        <v>1.1459999999999999</v>
      </c>
      <c r="X20" s="30">
        <v>3.0489999999999999</v>
      </c>
      <c r="Y20" s="30">
        <v>5.0350000000000001</v>
      </c>
      <c r="Z20" s="64">
        <f>Z19*(Z32)</f>
        <v>4.5778787400000009</v>
      </c>
      <c r="AG20" s="30">
        <v>4.2510000000000003</v>
      </c>
      <c r="AH20" s="30">
        <v>3.9769999999999999</v>
      </c>
      <c r="AI20" s="64">
        <f t="shared" si="28"/>
        <v>13.807878740000001</v>
      </c>
    </row>
    <row r="21" spans="2:44" s="31" customFormat="1" x14ac:dyDescent="0.2">
      <c r="B21" s="31" t="s">
        <v>101</v>
      </c>
      <c r="R21" s="31">
        <f>R19-R20</f>
        <v>-266.94399999999996</v>
      </c>
      <c r="S21" s="31">
        <f>S19-S20</f>
        <v>-63.992000000000026</v>
      </c>
      <c r="T21" s="31">
        <f>T19-T20</f>
        <v>-77.132999999999981</v>
      </c>
      <c r="U21" s="31">
        <f>U19-U20</f>
        <v>-76.099000000000004</v>
      </c>
      <c r="V21" s="31">
        <f>V19-V20</f>
        <v>-89.641999999999982</v>
      </c>
      <c r="W21" s="31">
        <f>W19-W20</f>
        <v>-77.293999999999983</v>
      </c>
      <c r="X21" s="31">
        <f>X19-X20</f>
        <v>-118.86499999999997</v>
      </c>
      <c r="Y21" s="31">
        <f>Y19-Y20</f>
        <v>-84.841000000000051</v>
      </c>
      <c r="Z21" s="62">
        <f>Z19-Z20</f>
        <v>-96.135453540000015</v>
      </c>
      <c r="AG21" s="31">
        <f>AG19-AG20</f>
        <v>-266.94399999999996</v>
      </c>
      <c r="AH21" s="31">
        <f>AH19-AH20</f>
        <v>-306.86599999999999</v>
      </c>
      <c r="AI21" s="62">
        <f>AI19-AI20</f>
        <v>-377.13545354000007</v>
      </c>
    </row>
    <row r="22" spans="2:44" s="36" customFormat="1" x14ac:dyDescent="0.2">
      <c r="B22" s="36" t="s">
        <v>102</v>
      </c>
      <c r="R22" s="36">
        <f>R21/R23</f>
        <v>-4.525655542249635</v>
      </c>
      <c r="S22" s="36">
        <f>S21/S23</f>
        <v>-1.0428660106545344</v>
      </c>
      <c r="T22" s="36">
        <f>T21/T23</f>
        <v>-1.2160968061806907</v>
      </c>
      <c r="U22" s="36">
        <f>U21/U23</f>
        <v>-1.1463044248881236</v>
      </c>
      <c r="V22" s="36">
        <f>V21/V23</f>
        <v>-1.3884416085043834</v>
      </c>
      <c r="W22" s="36">
        <f>W21/W23</f>
        <v>-1.1416038004739926</v>
      </c>
      <c r="X22" s="36">
        <f>X21/X23</f>
        <v>-1.739459023195089</v>
      </c>
      <c r="Y22" s="36">
        <f>Y21/Y23</f>
        <v>-1.2310638914773968</v>
      </c>
      <c r="Z22" s="65">
        <f>Z21/Z23</f>
        <v>-1.3949492055008406</v>
      </c>
      <c r="AG22" s="36">
        <f>AG21/AG23</f>
        <v>-4.525655542249635</v>
      </c>
      <c r="AH22" s="36">
        <f>AH21/AH23</f>
        <v>-4.7529676115582671</v>
      </c>
      <c r="AI22" s="65">
        <f>AI21/AI23</f>
        <v>-5.4723286977881589</v>
      </c>
    </row>
    <row r="23" spans="2:44" s="30" customFormat="1" x14ac:dyDescent="0.2">
      <c r="B23" s="30" t="s">
        <v>3</v>
      </c>
      <c r="R23" s="30">
        <f>AG23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AH23</f>
        <v>64.563032000000007</v>
      </c>
      <c r="W23" s="30">
        <v>67.706502</v>
      </c>
      <c r="X23" s="30">
        <v>68.334463999999997</v>
      </c>
      <c r="Y23" s="30">
        <v>68.916813000000005</v>
      </c>
      <c r="Z23" s="64">
        <f>Y23</f>
        <v>68.916813000000005</v>
      </c>
      <c r="AG23" s="30">
        <v>58.984603999999997</v>
      </c>
      <c r="AH23" s="30">
        <v>64.563032000000007</v>
      </c>
      <c r="AI23" s="64">
        <f>Z23</f>
        <v>68.916813000000005</v>
      </c>
    </row>
    <row r="24" spans="2:44" s="30" customFormat="1" x14ac:dyDescent="0.2">
      <c r="Z24" s="64"/>
      <c r="AI24" s="64"/>
    </row>
    <row r="26" spans="2:44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:Z26" si="29">Y6/U6-1</f>
        <v>0.47038912615197459</v>
      </c>
      <c r="Z26" s="70">
        <f t="shared" si="29"/>
        <v>0.40211607015542561</v>
      </c>
      <c r="AH26" s="32">
        <f>AH6/AG6-1</f>
        <v>0.48003319895660423</v>
      </c>
      <c r="AI26" s="70">
        <f>AI6/AH6-1</f>
        <v>0.48364640150518068</v>
      </c>
      <c r="AJ26" s="32">
        <v>0.52</v>
      </c>
      <c r="AK26" s="32">
        <v>0.48</v>
      </c>
      <c r="AL26" s="32">
        <v>0.35</v>
      </c>
      <c r="AM26" s="32">
        <v>0.25</v>
      </c>
      <c r="AN26" s="32">
        <v>0.2</v>
      </c>
      <c r="AO26" s="32">
        <v>0.15</v>
      </c>
      <c r="AP26" s="32">
        <v>0.15</v>
      </c>
      <c r="AQ26" s="32">
        <v>0.15</v>
      </c>
      <c r="AR26" s="32">
        <v>0.15</v>
      </c>
    </row>
    <row r="27" spans="2:44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30">V6/U6-1</f>
        <v>0.17453601477348357</v>
      </c>
      <c r="W27" s="33">
        <f t="shared" si="30"/>
        <v>7.1119800070545525E-2</v>
      </c>
      <c r="X27" s="33">
        <f>X6/W6-1</f>
        <v>6.3805189755015812E-2</v>
      </c>
      <c r="Y27" s="33">
        <f t="shared" ref="Y27" si="31">Y6/X6-1</f>
        <v>9.8666271487848123E-2</v>
      </c>
      <c r="Z27" s="66">
        <v>0.12</v>
      </c>
      <c r="AD27" s="21" t="s">
        <v>142</v>
      </c>
      <c r="AE27" s="21" t="s">
        <v>142</v>
      </c>
      <c r="AF27" s="21" t="s">
        <v>142</v>
      </c>
      <c r="AG27" s="21" t="s">
        <v>142</v>
      </c>
      <c r="AH27" s="21" t="s">
        <v>142</v>
      </c>
    </row>
    <row r="29" spans="2:44" s="33" customFormat="1" x14ac:dyDescent="0.2">
      <c r="B29" s="33" t="s">
        <v>85</v>
      </c>
      <c r="S29" s="33">
        <f>S10/S6</f>
        <v>0.69981502686514585</v>
      </c>
      <c r="T29" s="33">
        <f t="shared" ref="T29" si="32">T10/T6</f>
        <v>0.69457652190976471</v>
      </c>
      <c r="U29" s="33">
        <f>U10/U6</f>
        <v>0.69825424318952101</v>
      </c>
      <c r="V29" s="33">
        <f t="shared" ref="V29" si="33">V10/V6</f>
        <v>0.71557333373359255</v>
      </c>
      <c r="W29" s="33">
        <f>W10/W6</f>
        <v>0.72599116473460923</v>
      </c>
      <c r="X29" s="33">
        <f t="shared" ref="X29:Y29" si="34">X10/X6</f>
        <v>0.70928999538958049</v>
      </c>
      <c r="Y29" s="33">
        <f t="shared" si="34"/>
        <v>0.71928625596110563</v>
      </c>
      <c r="Z29" s="66">
        <v>0.72</v>
      </c>
      <c r="AG29" s="33">
        <f t="shared" ref="AG29:AR29" si="35">AG10/AG6</f>
        <v>0.7000643653240286</v>
      </c>
      <c r="AH29" s="33">
        <f t="shared" si="35"/>
        <v>0.703024324144924</v>
      </c>
      <c r="AI29" s="66">
        <f t="shared" ref="AI29" si="36">AI10/AI6</f>
        <v>0.71862682611084105</v>
      </c>
    </row>
    <row r="30" spans="2:44" s="33" customFormat="1" x14ac:dyDescent="0.2">
      <c r="B30" s="33" t="s">
        <v>86</v>
      </c>
      <c r="S30" s="33">
        <f>S15/S6</f>
        <v>-0.33826962036466146</v>
      </c>
      <c r="T30" s="33">
        <f t="shared" ref="T30" si="37">T15/T6</f>
        <v>-0.3649413576053977</v>
      </c>
      <c r="U30" s="33">
        <f>U15/U6</f>
        <v>-0.33834450600062582</v>
      </c>
      <c r="V30" s="33">
        <f t="shared" ref="V30" si="38">V15/V6</f>
        <v>-0.29501227044511308</v>
      </c>
      <c r="W30" s="33">
        <f>W15/W6</f>
        <v>-0.26603887937165205</v>
      </c>
      <c r="X30" s="33">
        <f t="shared" ref="X30:Z31" si="39">X15/X6</f>
        <v>-0.37819600869393383</v>
      </c>
      <c r="Y30" s="33">
        <f t="shared" si="39"/>
        <v>-0.24855449746868472</v>
      </c>
      <c r="Z30" s="66">
        <f t="shared" si="39"/>
        <v>-0.24000000000000002</v>
      </c>
      <c r="AG30" s="33">
        <f t="shared" ref="AG30:AH30" si="40">AG15/AG6</f>
        <v>-0.35452420474948332</v>
      </c>
      <c r="AH30" s="33">
        <f t="shared" si="40"/>
        <v>-0.33116269275402793</v>
      </c>
      <c r="AI30" s="66">
        <f t="shared" ref="AI30" si="41">AI15/AI6</f>
        <v>-0.2803054182607938</v>
      </c>
    </row>
    <row r="31" spans="2:44" s="33" customFormat="1" x14ac:dyDescent="0.2">
      <c r="B31" s="33" t="s">
        <v>87</v>
      </c>
      <c r="S31" s="33">
        <f>S21/S6</f>
        <v>-0.35228573945212732</v>
      </c>
      <c r="T31" s="33">
        <f t="shared" ref="T31" si="42">T21/T6</f>
        <v>-0.38809642409696737</v>
      </c>
      <c r="U31" s="33">
        <f>U21/U6</f>
        <v>-0.33539597960272022</v>
      </c>
      <c r="V31" s="33">
        <f t="shared" ref="V31" si="43">V21/V6</f>
        <v>-0.336375303008698</v>
      </c>
      <c r="W31" s="33">
        <f>W21/W6</f>
        <v>-0.27078231685742005</v>
      </c>
      <c r="X31" s="33">
        <f t="shared" ref="X31:Z31" si="44">X21/X6</f>
        <v>-0.39144108542448774</v>
      </c>
      <c r="Y31" s="33">
        <f t="shared" si="44"/>
        <v>-0.2543035360483904</v>
      </c>
      <c r="Z31" s="66">
        <f t="shared" si="44"/>
        <v>-0.2572836433407969</v>
      </c>
      <c r="AG31" s="33">
        <f t="shared" ref="AG31:AH31" si="45">AG21/AG6</f>
        <v>-0.45215623835495777</v>
      </c>
      <c r="AH31" s="33">
        <f t="shared" si="45"/>
        <v>-0.35119286046176273</v>
      </c>
      <c r="AI31" s="66">
        <f t="shared" ref="AI31" si="46">AI21/AI6</f>
        <v>-0.29091348950501938</v>
      </c>
    </row>
    <row r="32" spans="2:44" s="33" customFormat="1" x14ac:dyDescent="0.2">
      <c r="B32" s="33" t="s">
        <v>88</v>
      </c>
      <c r="S32" s="33">
        <f>S20/S19</f>
        <v>2.1050055072818496E-2</v>
      </c>
      <c r="T32" s="33">
        <f t="shared" ref="T32" si="47">T20/T19</f>
        <v>-2.0345260929955689E-2</v>
      </c>
      <c r="U32" s="33">
        <f>U20/U19</f>
        <v>-3.0453622207176706E-2</v>
      </c>
      <c r="V32" s="33">
        <f t="shared" ref="V32" si="48">V20/V19</f>
        <v>-1.7780099005404421E-2</v>
      </c>
      <c r="W32" s="33">
        <f>W20/W19</f>
        <v>-1.5049640174397229E-2</v>
      </c>
      <c r="X32" s="33">
        <f t="shared" ref="X32:Y32" si="49">X20/X19</f>
        <v>-2.6326241624645998E-2</v>
      </c>
      <c r="Y32" s="33">
        <f t="shared" si="49"/>
        <v>-6.3090494449038872E-2</v>
      </c>
      <c r="Z32" s="66">
        <v>-0.05</v>
      </c>
      <c r="AG32" s="33">
        <f t="shared" ref="AG32:AH32" si="50">AG20/AG19</f>
        <v>-1.6182387806298611E-2</v>
      </c>
      <c r="AH32" s="33">
        <f t="shared" si="50"/>
        <v>-1.3130222622809015E-2</v>
      </c>
      <c r="AI32" s="66">
        <f t="shared" ref="AI32" si="51">AI20/AI19</f>
        <v>-3.8003938312694226E-2</v>
      </c>
    </row>
    <row r="36" spans="2:35" x14ac:dyDescent="0.2">
      <c r="B36" s="37" t="s">
        <v>103</v>
      </c>
    </row>
    <row r="37" spans="2:35" s="2" customFormat="1" x14ac:dyDescent="0.2">
      <c r="B37" s="2" t="s">
        <v>5</v>
      </c>
      <c r="V37" s="31">
        <v>473.904</v>
      </c>
      <c r="W37" s="31">
        <v>456.27499999999998</v>
      </c>
      <c r="X37" s="31">
        <v>651.41999999999996</v>
      </c>
      <c r="Y37" s="31">
        <v>999.67399999999998</v>
      </c>
      <c r="Z37" s="63"/>
      <c r="AG37" s="31">
        <v>429.697</v>
      </c>
      <c r="AH37" s="31">
        <f>V37</f>
        <v>473.904</v>
      </c>
      <c r="AI37" s="62"/>
    </row>
    <row r="38" spans="2:35" s="2" customFormat="1" x14ac:dyDescent="0.2">
      <c r="B38" s="2" t="s">
        <v>104</v>
      </c>
      <c r="V38" s="31">
        <v>1352.019</v>
      </c>
      <c r="W38" s="31">
        <v>1372.42</v>
      </c>
      <c r="X38" s="31">
        <v>1144.192</v>
      </c>
      <c r="Y38" s="31">
        <v>787.85799999999995</v>
      </c>
      <c r="Z38" s="63"/>
      <c r="AG38" s="31">
        <v>528.04499999999996</v>
      </c>
      <c r="AH38" s="31">
        <f>V38</f>
        <v>1352.019</v>
      </c>
      <c r="AI38" s="62"/>
    </row>
    <row r="39" spans="2:35" x14ac:dyDescent="0.2">
      <c r="B39" s="1" t="s">
        <v>105</v>
      </c>
      <c r="V39" s="30">
        <v>195.38300000000001</v>
      </c>
      <c r="W39" s="30">
        <v>164.88499999999999</v>
      </c>
      <c r="X39" s="30">
        <v>213.267</v>
      </c>
      <c r="Y39" s="30">
        <v>231.26</v>
      </c>
      <c r="AG39" s="30">
        <v>135.17599999999999</v>
      </c>
      <c r="AH39" s="30">
        <f>V39</f>
        <v>195.38300000000001</v>
      </c>
    </row>
    <row r="40" spans="2:35" x14ac:dyDescent="0.2">
      <c r="B40" s="1" t="s">
        <v>106</v>
      </c>
      <c r="V40" s="30">
        <v>63.523000000000003</v>
      </c>
      <c r="W40" s="30">
        <v>66.754000000000005</v>
      </c>
      <c r="X40" s="30">
        <v>72.069000000000003</v>
      </c>
      <c r="Y40" s="30">
        <v>77.445999999999998</v>
      </c>
      <c r="AG40" s="30">
        <v>36.619</v>
      </c>
      <c r="AH40" s="30">
        <f t="shared" ref="AH40:AH47" si="52">V40</f>
        <v>63.523000000000003</v>
      </c>
    </row>
    <row r="41" spans="2:35" x14ac:dyDescent="0.2">
      <c r="B41" s="1" t="s">
        <v>107</v>
      </c>
      <c r="V41" s="30">
        <v>32.573</v>
      </c>
      <c r="W41" s="30">
        <v>35.972999999999999</v>
      </c>
      <c r="X41" s="30">
        <v>27.565999999999999</v>
      </c>
      <c r="Y41" s="30">
        <v>26.016999999999999</v>
      </c>
      <c r="AG41" s="30">
        <v>12.35</v>
      </c>
      <c r="AH41" s="30">
        <f t="shared" si="52"/>
        <v>32.573</v>
      </c>
    </row>
    <row r="42" spans="2:35" x14ac:dyDescent="0.2">
      <c r="B42" s="1" t="s">
        <v>108</v>
      </c>
      <c r="C42" s="30">
        <f t="shared" ref="C42:V42" si="53">SUM(C37:C41)</f>
        <v>0</v>
      </c>
      <c r="D42" s="30">
        <f t="shared" si="53"/>
        <v>0</v>
      </c>
      <c r="E42" s="30">
        <f t="shared" si="53"/>
        <v>0</v>
      </c>
      <c r="F42" s="30">
        <f t="shared" si="53"/>
        <v>0</v>
      </c>
      <c r="G42" s="30">
        <f t="shared" si="53"/>
        <v>0</v>
      </c>
      <c r="H42" s="30">
        <f t="shared" si="53"/>
        <v>0</v>
      </c>
      <c r="I42" s="30">
        <f t="shared" si="53"/>
        <v>0</v>
      </c>
      <c r="J42" s="30">
        <f t="shared" si="53"/>
        <v>0</v>
      </c>
      <c r="K42" s="30">
        <f t="shared" si="53"/>
        <v>0</v>
      </c>
      <c r="L42" s="30">
        <f t="shared" si="53"/>
        <v>0</v>
      </c>
      <c r="M42" s="30">
        <f t="shared" si="53"/>
        <v>0</v>
      </c>
      <c r="N42" s="30">
        <f t="shared" si="53"/>
        <v>0</v>
      </c>
      <c r="O42" s="30">
        <f t="shared" si="53"/>
        <v>0</v>
      </c>
      <c r="P42" s="30">
        <f t="shared" si="53"/>
        <v>0</v>
      </c>
      <c r="Q42" s="30">
        <f t="shared" si="53"/>
        <v>0</v>
      </c>
      <c r="R42" s="30">
        <f t="shared" si="53"/>
        <v>0</v>
      </c>
      <c r="S42" s="30">
        <f t="shared" si="53"/>
        <v>0</v>
      </c>
      <c r="T42" s="30">
        <f t="shared" si="53"/>
        <v>0</v>
      </c>
      <c r="U42" s="30">
        <f t="shared" si="53"/>
        <v>0</v>
      </c>
      <c r="V42" s="30">
        <f t="shared" si="53"/>
        <v>2117.402</v>
      </c>
      <c r="W42" s="30">
        <f>SUM(W37:W41)</f>
        <v>2096.3070000000002</v>
      </c>
      <c r="X42" s="30">
        <f t="shared" ref="X42:Y42" si="54">SUM(X37:X41)</f>
        <v>2108.5140000000001</v>
      </c>
      <c r="Y42" s="30">
        <f t="shared" si="54"/>
        <v>2122.2549999999997</v>
      </c>
      <c r="AG42" s="30">
        <f t="shared" ref="AG42:AH42" si="55">SUM(AG37:AG41)</f>
        <v>1141.8869999999997</v>
      </c>
      <c r="AH42" s="30">
        <f t="shared" si="55"/>
        <v>2117.402</v>
      </c>
    </row>
    <row r="43" spans="2:35" x14ac:dyDescent="0.2">
      <c r="B43" s="1" t="s">
        <v>109</v>
      </c>
      <c r="V43" s="30">
        <v>62.625</v>
      </c>
      <c r="W43" s="30">
        <v>62.761000000000003</v>
      </c>
      <c r="X43" s="30">
        <v>61.603999999999999</v>
      </c>
      <c r="Y43" s="30">
        <v>59.488999999999997</v>
      </c>
      <c r="AG43" s="30">
        <v>62.363999999999997</v>
      </c>
      <c r="AH43" s="30">
        <f t="shared" si="52"/>
        <v>62.625</v>
      </c>
    </row>
    <row r="44" spans="2:35" x14ac:dyDescent="0.2">
      <c r="B44" s="1" t="s">
        <v>110</v>
      </c>
      <c r="V44" s="30">
        <v>41.744999999999997</v>
      </c>
      <c r="W44" s="30">
        <v>45.247999999999998</v>
      </c>
      <c r="X44" s="30">
        <v>46.417999999999999</v>
      </c>
      <c r="Y44" s="30">
        <v>43.484999999999999</v>
      </c>
      <c r="AG44" s="30">
        <v>34.587000000000003</v>
      </c>
      <c r="AH44" s="30">
        <f t="shared" si="52"/>
        <v>41.744999999999997</v>
      </c>
    </row>
    <row r="45" spans="2:35" x14ac:dyDescent="0.2">
      <c r="B45" s="1" t="s">
        <v>111</v>
      </c>
      <c r="V45" s="30">
        <f>57.775+20.608</f>
        <v>78.382999999999996</v>
      </c>
      <c r="W45" s="30">
        <f>57.775+18.313</f>
        <v>76.087999999999994</v>
      </c>
      <c r="X45" s="30">
        <f>16.018+57.779</f>
        <v>73.796999999999997</v>
      </c>
      <c r="Y45" s="30">
        <f>57.779+13.723</f>
        <v>71.50200000000001</v>
      </c>
      <c r="AG45" s="30">
        <f>55.83+26.275</f>
        <v>82.10499999999999</v>
      </c>
      <c r="AH45" s="30">
        <f t="shared" si="52"/>
        <v>78.382999999999996</v>
      </c>
    </row>
    <row r="46" spans="2:35" x14ac:dyDescent="0.2">
      <c r="B46" s="1" t="s">
        <v>112</v>
      </c>
      <c r="V46" s="30">
        <v>1.9390000000000001</v>
      </c>
      <c r="W46" s="30">
        <v>1.9630000000000001</v>
      </c>
      <c r="X46" s="30">
        <v>2.1629999999999998</v>
      </c>
      <c r="Y46" s="30">
        <v>1.657</v>
      </c>
      <c r="AG46" s="30">
        <v>0.997</v>
      </c>
      <c r="AH46" s="30">
        <f t="shared" si="52"/>
        <v>1.9390000000000001</v>
      </c>
    </row>
    <row r="47" spans="2:35" x14ac:dyDescent="0.2">
      <c r="B47" s="1" t="s">
        <v>113</v>
      </c>
      <c r="V47" s="30">
        <v>147.494</v>
      </c>
      <c r="W47" s="30">
        <v>152.17400000000001</v>
      </c>
      <c r="X47" s="30">
        <v>159.102</v>
      </c>
      <c r="Y47" s="30">
        <v>168.798</v>
      </c>
      <c r="AG47" s="30">
        <v>85.555000000000007</v>
      </c>
      <c r="AH47" s="30">
        <f t="shared" si="52"/>
        <v>147.494</v>
      </c>
    </row>
    <row r="48" spans="2:35" x14ac:dyDescent="0.2">
      <c r="B48" s="1" t="s">
        <v>114</v>
      </c>
      <c r="C48" s="30">
        <f t="shared" ref="C48:V48" si="56">C42+SUM(C43:C47)</f>
        <v>0</v>
      </c>
      <c r="D48" s="30">
        <f t="shared" si="56"/>
        <v>0</v>
      </c>
      <c r="E48" s="30">
        <f t="shared" si="56"/>
        <v>0</v>
      </c>
      <c r="F48" s="30">
        <f t="shared" si="56"/>
        <v>0</v>
      </c>
      <c r="G48" s="30">
        <f t="shared" si="56"/>
        <v>0</v>
      </c>
      <c r="H48" s="30">
        <f t="shared" si="56"/>
        <v>0</v>
      </c>
      <c r="I48" s="30">
        <f t="shared" si="56"/>
        <v>0</v>
      </c>
      <c r="J48" s="30">
        <f t="shared" si="56"/>
        <v>0</v>
      </c>
      <c r="K48" s="30">
        <f t="shared" si="56"/>
        <v>0</v>
      </c>
      <c r="L48" s="30">
        <f t="shared" si="56"/>
        <v>0</v>
      </c>
      <c r="M48" s="30">
        <f t="shared" si="56"/>
        <v>0</v>
      </c>
      <c r="N48" s="30">
        <f t="shared" si="56"/>
        <v>0</v>
      </c>
      <c r="O48" s="30">
        <f t="shared" si="56"/>
        <v>0</v>
      </c>
      <c r="P48" s="30">
        <f t="shared" si="56"/>
        <v>0</v>
      </c>
      <c r="Q48" s="30">
        <f t="shared" si="56"/>
        <v>0</v>
      </c>
      <c r="R48" s="30">
        <f t="shared" si="56"/>
        <v>0</v>
      </c>
      <c r="S48" s="30">
        <f t="shared" si="56"/>
        <v>0</v>
      </c>
      <c r="T48" s="30">
        <f t="shared" si="56"/>
        <v>0</v>
      </c>
      <c r="U48" s="30">
        <f t="shared" si="56"/>
        <v>0</v>
      </c>
      <c r="V48" s="30">
        <f t="shared" si="56"/>
        <v>2449.5880000000002</v>
      </c>
      <c r="W48" s="30">
        <f>W42+SUM(W43:W47)</f>
        <v>2434.5410000000002</v>
      </c>
      <c r="X48" s="30">
        <f>X42+SUM(X43:X47)</f>
        <v>2451.598</v>
      </c>
      <c r="Y48" s="30">
        <f>Y42+SUM(Y43:Y47)</f>
        <v>2467.1859999999997</v>
      </c>
      <c r="AG48" s="30">
        <f>AG42+SUM(AG43:AG47)</f>
        <v>1407.4949999999997</v>
      </c>
      <c r="AH48" s="30">
        <f>AH42+SUM(AH43:AH47)</f>
        <v>2449.5880000000002</v>
      </c>
    </row>
    <row r="50" spans="2:35" x14ac:dyDescent="0.2">
      <c r="B50" s="1" t="s">
        <v>115</v>
      </c>
      <c r="V50" s="30">
        <v>5.234</v>
      </c>
      <c r="W50" s="30">
        <v>6.2039999999999997</v>
      </c>
      <c r="X50" s="30">
        <v>7.3029999999999999</v>
      </c>
      <c r="Y50" s="30">
        <v>7.734</v>
      </c>
      <c r="AG50" s="30">
        <v>4.1440000000000001</v>
      </c>
      <c r="AH50" s="30">
        <f>V50</f>
        <v>5.234</v>
      </c>
    </row>
    <row r="51" spans="2:35" x14ac:dyDescent="0.2">
      <c r="B51" s="1" t="s">
        <v>116</v>
      </c>
      <c r="V51" s="30">
        <v>112.568</v>
      </c>
      <c r="W51" s="30">
        <v>87.716999999999999</v>
      </c>
      <c r="X51" s="30">
        <v>83.805999999999997</v>
      </c>
      <c r="Y51" s="30">
        <v>84.442999999999998</v>
      </c>
      <c r="AG51" s="30">
        <v>70.209999999999994</v>
      </c>
      <c r="AH51" s="30">
        <f t="shared" ref="AH51:AH54" si="57">V51</f>
        <v>112.568</v>
      </c>
    </row>
    <row r="52" spans="2:35" x14ac:dyDescent="0.2">
      <c r="B52" s="1" t="s">
        <v>117</v>
      </c>
      <c r="V52" s="30">
        <v>8.0839999999999996</v>
      </c>
      <c r="W52" s="30">
        <v>8.6709999999999994</v>
      </c>
      <c r="X52" s="30">
        <v>9.1630000000000003</v>
      </c>
      <c r="Y52" s="30">
        <v>8.6449999999999996</v>
      </c>
      <c r="AG52" s="30">
        <v>2.343</v>
      </c>
      <c r="AH52" s="30">
        <f t="shared" si="57"/>
        <v>8.0839999999999996</v>
      </c>
    </row>
    <row r="53" spans="2:35" x14ac:dyDescent="0.2">
      <c r="B53" s="1" t="s">
        <v>118</v>
      </c>
      <c r="V53" s="30">
        <v>48.847999999999999</v>
      </c>
      <c r="W53" s="30">
        <v>49.216000000000001</v>
      </c>
      <c r="X53" s="30">
        <v>73.915999999999997</v>
      </c>
      <c r="Y53" s="30">
        <v>52.826000000000001</v>
      </c>
      <c r="AG53" s="30">
        <v>56.44</v>
      </c>
      <c r="AH53" s="30">
        <f t="shared" si="57"/>
        <v>48.847999999999999</v>
      </c>
    </row>
    <row r="54" spans="2:35" x14ac:dyDescent="0.2">
      <c r="B54" s="1" t="s">
        <v>119</v>
      </c>
      <c r="V54" s="30">
        <v>352.00099999999998</v>
      </c>
      <c r="W54" s="30">
        <v>351.91399999999999</v>
      </c>
      <c r="X54" s="30">
        <v>350.709</v>
      </c>
      <c r="Y54" s="30">
        <v>364.15899999999999</v>
      </c>
      <c r="AG54" s="30">
        <v>221.404</v>
      </c>
      <c r="AH54" s="30">
        <f t="shared" si="57"/>
        <v>352.00099999999998</v>
      </c>
    </row>
    <row r="55" spans="2:35" x14ac:dyDescent="0.2">
      <c r="B55" s="1" t="s">
        <v>120</v>
      </c>
      <c r="C55" s="30">
        <f t="shared" ref="C55:V55" si="58">SUM(C50:C54)</f>
        <v>0</v>
      </c>
      <c r="D55" s="30">
        <f t="shared" si="58"/>
        <v>0</v>
      </c>
      <c r="E55" s="30">
        <f t="shared" si="58"/>
        <v>0</v>
      </c>
      <c r="F55" s="30">
        <f t="shared" si="58"/>
        <v>0</v>
      </c>
      <c r="G55" s="30">
        <f t="shared" si="58"/>
        <v>0</v>
      </c>
      <c r="H55" s="30">
        <f t="shared" si="58"/>
        <v>0</v>
      </c>
      <c r="I55" s="30">
        <f t="shared" si="58"/>
        <v>0</v>
      </c>
      <c r="J55" s="30">
        <f t="shared" si="58"/>
        <v>0</v>
      </c>
      <c r="K55" s="30">
        <f t="shared" si="58"/>
        <v>0</v>
      </c>
      <c r="L55" s="30">
        <f t="shared" si="58"/>
        <v>0</v>
      </c>
      <c r="M55" s="30">
        <f t="shared" si="58"/>
        <v>0</v>
      </c>
      <c r="N55" s="30">
        <f t="shared" si="58"/>
        <v>0</v>
      </c>
      <c r="O55" s="30">
        <f t="shared" si="58"/>
        <v>0</v>
      </c>
      <c r="P55" s="30">
        <f t="shared" si="58"/>
        <v>0</v>
      </c>
      <c r="Q55" s="30">
        <f t="shared" si="58"/>
        <v>0</v>
      </c>
      <c r="R55" s="30">
        <f t="shared" si="58"/>
        <v>0</v>
      </c>
      <c r="S55" s="30">
        <f t="shared" si="58"/>
        <v>0</v>
      </c>
      <c r="T55" s="30">
        <f t="shared" si="58"/>
        <v>0</v>
      </c>
      <c r="U55" s="30">
        <f t="shared" si="58"/>
        <v>0</v>
      </c>
      <c r="V55" s="30">
        <f t="shared" si="58"/>
        <v>526.7349999999999</v>
      </c>
      <c r="W55" s="30">
        <f>SUM(W50:W54)</f>
        <v>503.72199999999998</v>
      </c>
      <c r="X55" s="30">
        <f>SUM(X50:X54)</f>
        <v>524.89699999999993</v>
      </c>
      <c r="Y55" s="30">
        <f>SUM(Y50:Y54)</f>
        <v>517.80700000000002</v>
      </c>
      <c r="AG55" s="30">
        <f>SUM(AG50:AG54)</f>
        <v>354.541</v>
      </c>
      <c r="AH55" s="30">
        <f>SUM(AH50:AH54)</f>
        <v>526.7349999999999</v>
      </c>
    </row>
    <row r="56" spans="2:35" x14ac:dyDescent="0.2">
      <c r="B56" s="1" t="s">
        <v>112</v>
      </c>
      <c r="V56" s="30">
        <v>8.1000000000000003E-2</v>
      </c>
      <c r="W56" s="30">
        <v>9.2999999999999999E-2</v>
      </c>
      <c r="X56" s="30">
        <v>9.5000000000000001E-2</v>
      </c>
      <c r="Y56" s="30">
        <v>0.40600000000000003</v>
      </c>
      <c r="AG56" s="30">
        <v>0.77300000000000002</v>
      </c>
      <c r="AH56" s="30">
        <f>W56</f>
        <v>9.2999999999999999E-2</v>
      </c>
    </row>
    <row r="57" spans="2:35" x14ac:dyDescent="0.2">
      <c r="B57" s="1" t="s">
        <v>117</v>
      </c>
      <c r="V57" s="30">
        <v>38.707000000000001</v>
      </c>
      <c r="W57" s="30">
        <v>40.279000000000003</v>
      </c>
      <c r="X57" s="30">
        <v>40.436999999999998</v>
      </c>
      <c r="Y57" s="30">
        <v>37.261000000000003</v>
      </c>
      <c r="AG57" s="30">
        <v>39.094999999999999</v>
      </c>
      <c r="AH57" s="30">
        <f>V57</f>
        <v>38.707000000000001</v>
      </c>
    </row>
    <row r="58" spans="2:35" x14ac:dyDescent="0.2">
      <c r="B58" s="1" t="s">
        <v>119</v>
      </c>
      <c r="V58" s="30">
        <v>23.178999999999998</v>
      </c>
      <c r="W58" s="30">
        <v>23.555</v>
      </c>
      <c r="X58" s="30">
        <v>24.462</v>
      </c>
      <c r="Y58" s="30">
        <v>34.014000000000003</v>
      </c>
      <c r="AG58" s="30">
        <v>16.547000000000001</v>
      </c>
      <c r="AH58" s="30">
        <f t="shared" ref="AH58" si="59">V58</f>
        <v>23.178999999999998</v>
      </c>
    </row>
    <row r="59" spans="2:35" s="2" customFormat="1" x14ac:dyDescent="0.2">
      <c r="B59" s="2" t="s">
        <v>121</v>
      </c>
      <c r="V59" s="31">
        <v>1136.521</v>
      </c>
      <c r="W59" s="31">
        <v>1137.3610000000001</v>
      </c>
      <c r="X59" s="31">
        <v>1138.2</v>
      </c>
      <c r="Y59" s="31">
        <v>1139.0419999999999</v>
      </c>
      <c r="Z59" s="63"/>
      <c r="AG59" s="31">
        <v>937.72900000000004</v>
      </c>
      <c r="AH59" s="31">
        <f>V59</f>
        <v>1136.521</v>
      </c>
      <c r="AI59" s="62"/>
    </row>
    <row r="60" spans="2:35" x14ac:dyDescent="0.2">
      <c r="B60" s="1" t="s">
        <v>122</v>
      </c>
      <c r="V60" s="30">
        <v>57.664999999999999</v>
      </c>
      <c r="W60" s="31">
        <v>56.652000000000001</v>
      </c>
      <c r="X60" s="30">
        <v>55.338999999999999</v>
      </c>
      <c r="Y60" s="30">
        <v>54.374000000000002</v>
      </c>
      <c r="AG60" s="30">
        <v>59.128999999999998</v>
      </c>
      <c r="AH60" s="30">
        <f t="shared" ref="AH60" si="60">V60</f>
        <v>57.664999999999999</v>
      </c>
    </row>
    <row r="61" spans="2:35" x14ac:dyDescent="0.2">
      <c r="B61" s="1" t="s">
        <v>123</v>
      </c>
      <c r="C61" s="30">
        <f t="shared" ref="C61:V61" si="61">C55+SUM(C56:C60)</f>
        <v>0</v>
      </c>
      <c r="D61" s="30">
        <f t="shared" si="61"/>
        <v>0</v>
      </c>
      <c r="E61" s="30">
        <f t="shared" si="61"/>
        <v>0</v>
      </c>
      <c r="F61" s="30">
        <f t="shared" si="61"/>
        <v>0</v>
      </c>
      <c r="G61" s="30">
        <f t="shared" si="61"/>
        <v>0</v>
      </c>
      <c r="H61" s="30">
        <f t="shared" si="61"/>
        <v>0</v>
      </c>
      <c r="I61" s="30">
        <f t="shared" si="61"/>
        <v>0</v>
      </c>
      <c r="J61" s="30">
        <f t="shared" si="61"/>
        <v>0</v>
      </c>
      <c r="K61" s="30">
        <f t="shared" si="61"/>
        <v>0</v>
      </c>
      <c r="L61" s="30">
        <f t="shared" si="61"/>
        <v>0</v>
      </c>
      <c r="M61" s="30">
        <f t="shared" si="61"/>
        <v>0</v>
      </c>
      <c r="N61" s="30">
        <f t="shared" si="61"/>
        <v>0</v>
      </c>
      <c r="O61" s="30">
        <f t="shared" si="61"/>
        <v>0</v>
      </c>
      <c r="P61" s="30">
        <f t="shared" si="61"/>
        <v>0</v>
      </c>
      <c r="Q61" s="30">
        <f t="shared" si="61"/>
        <v>0</v>
      </c>
      <c r="R61" s="30">
        <f t="shared" si="61"/>
        <v>0</v>
      </c>
      <c r="S61" s="30">
        <f t="shared" si="61"/>
        <v>0</v>
      </c>
      <c r="T61" s="30">
        <f t="shared" si="61"/>
        <v>0</v>
      </c>
      <c r="U61" s="30">
        <f t="shared" si="61"/>
        <v>0</v>
      </c>
      <c r="V61" s="30">
        <f t="shared" si="61"/>
        <v>1782.8879999999999</v>
      </c>
      <c r="W61" s="30">
        <f>W55+SUM(W56:W60)</f>
        <v>1761.662</v>
      </c>
      <c r="X61" s="30">
        <f>X55+SUM(X56:X60)</f>
        <v>1783.4299999999998</v>
      </c>
      <c r="Y61" s="30">
        <f>Y55+SUM(Y56:Y60)</f>
        <v>1782.904</v>
      </c>
      <c r="AG61" s="30">
        <f>AG55+SUM(AG56:AG60)</f>
        <v>1407.8139999999999</v>
      </c>
      <c r="AH61" s="30">
        <f>AH55+SUM(AH56:AH60)</f>
        <v>1782.8999999999999</v>
      </c>
    </row>
    <row r="63" spans="2:35" x14ac:dyDescent="0.2">
      <c r="B63" s="1" t="s">
        <v>124</v>
      </c>
      <c r="V63" s="1">
        <v>666.7</v>
      </c>
      <c r="W63" s="30">
        <v>672.87900000000002</v>
      </c>
      <c r="X63" s="30">
        <v>668.16800000000001</v>
      </c>
      <c r="Y63" s="30">
        <v>684.28200000000004</v>
      </c>
      <c r="AG63" s="1">
        <v>-5.0330000000000004</v>
      </c>
      <c r="AH63" s="1">
        <f>V63</f>
        <v>666.7</v>
      </c>
    </row>
    <row r="64" spans="2:35" x14ac:dyDescent="0.2">
      <c r="B64" s="1" t="s">
        <v>125</v>
      </c>
      <c r="C64" s="30">
        <f t="shared" ref="C64" si="62">C63+C61</f>
        <v>0</v>
      </c>
      <c r="D64" s="30">
        <f t="shared" ref="D64" si="63">D63+D61</f>
        <v>0</v>
      </c>
      <c r="E64" s="30">
        <f t="shared" ref="E64" si="64">E63+E61</f>
        <v>0</v>
      </c>
      <c r="F64" s="30">
        <f t="shared" ref="F64" si="65">F63+F61</f>
        <v>0</v>
      </c>
      <c r="G64" s="30">
        <f t="shared" ref="G64" si="66">G63+G61</f>
        <v>0</v>
      </c>
      <c r="H64" s="30">
        <f t="shared" ref="H64" si="67">H63+H61</f>
        <v>0</v>
      </c>
      <c r="I64" s="30">
        <f t="shared" ref="I64" si="68">I63+I61</f>
        <v>0</v>
      </c>
      <c r="J64" s="30">
        <f t="shared" ref="J64" si="69">J63+J61</f>
        <v>0</v>
      </c>
      <c r="K64" s="30">
        <f t="shared" ref="K64" si="70">K63+K61</f>
        <v>0</v>
      </c>
      <c r="L64" s="30">
        <f t="shared" ref="L64" si="71">L63+L61</f>
        <v>0</v>
      </c>
      <c r="M64" s="30">
        <f t="shared" ref="M64" si="72">M63+M61</f>
        <v>0</v>
      </c>
      <c r="N64" s="30">
        <f t="shared" ref="N64" si="73">N63+N61</f>
        <v>0</v>
      </c>
      <c r="O64" s="30">
        <f t="shared" ref="O64" si="74">O63+O61</f>
        <v>0</v>
      </c>
      <c r="P64" s="30">
        <f t="shared" ref="P64" si="75">P63+P61</f>
        <v>0</v>
      </c>
      <c r="Q64" s="30">
        <f t="shared" ref="Q64" si="76">Q63+Q61</f>
        <v>0</v>
      </c>
      <c r="R64" s="30">
        <f t="shared" ref="R64" si="77">R63+R61</f>
        <v>0</v>
      </c>
      <c r="S64" s="30">
        <f t="shared" ref="S64" si="78">S63+S61</f>
        <v>0</v>
      </c>
      <c r="T64" s="30">
        <f t="shared" ref="T64" si="79">T63+T61</f>
        <v>0</v>
      </c>
      <c r="U64" s="30">
        <f t="shared" ref="U64" si="80">U63+U61</f>
        <v>0</v>
      </c>
      <c r="V64" s="30">
        <f t="shared" ref="V64" si="81">V63+V61</f>
        <v>2449.5879999999997</v>
      </c>
      <c r="W64" s="30">
        <f t="shared" ref="W64:Y64" si="82">W63+W61</f>
        <v>2434.5410000000002</v>
      </c>
      <c r="X64" s="30">
        <f t="shared" ref="X64" si="83">X63+X61</f>
        <v>2451.598</v>
      </c>
      <c r="Y64" s="30">
        <f t="shared" si="82"/>
        <v>2467.1860000000001</v>
      </c>
      <c r="AF64" s="57"/>
      <c r="AG64" s="30">
        <f>AG63+AG61</f>
        <v>1402.7809999999999</v>
      </c>
      <c r="AH64" s="30">
        <f t="shared" ref="AG64:AH64" si="84">AH63+AH61</f>
        <v>2449.6</v>
      </c>
    </row>
    <row r="65" spans="2:35" x14ac:dyDescent="0.2">
      <c r="AF65" s="57"/>
    </row>
    <row r="66" spans="2:35" x14ac:dyDescent="0.2">
      <c r="B66" s="1" t="s">
        <v>126</v>
      </c>
      <c r="C66" s="30">
        <f t="shared" ref="C66:V66" si="85">C48-C61</f>
        <v>0</v>
      </c>
      <c r="D66" s="30">
        <f t="shared" si="85"/>
        <v>0</v>
      </c>
      <c r="E66" s="30">
        <f t="shared" si="85"/>
        <v>0</v>
      </c>
      <c r="F66" s="30">
        <f t="shared" si="85"/>
        <v>0</v>
      </c>
      <c r="G66" s="30">
        <f t="shared" si="85"/>
        <v>0</v>
      </c>
      <c r="H66" s="30">
        <f t="shared" si="85"/>
        <v>0</v>
      </c>
      <c r="I66" s="30">
        <f t="shared" si="85"/>
        <v>0</v>
      </c>
      <c r="J66" s="30">
        <f t="shared" si="85"/>
        <v>0</v>
      </c>
      <c r="K66" s="30">
        <f t="shared" si="85"/>
        <v>0</v>
      </c>
      <c r="L66" s="30">
        <f t="shared" si="85"/>
        <v>0</v>
      </c>
      <c r="M66" s="30">
        <f t="shared" si="85"/>
        <v>0</v>
      </c>
      <c r="N66" s="30">
        <f t="shared" si="85"/>
        <v>0</v>
      </c>
      <c r="O66" s="30">
        <f t="shared" si="85"/>
        <v>0</v>
      </c>
      <c r="P66" s="30">
        <f t="shared" si="85"/>
        <v>0</v>
      </c>
      <c r="Q66" s="30">
        <f t="shared" si="85"/>
        <v>0</v>
      </c>
      <c r="R66" s="30">
        <f t="shared" si="85"/>
        <v>0</v>
      </c>
      <c r="S66" s="30">
        <f t="shared" si="85"/>
        <v>0</v>
      </c>
      <c r="T66" s="30">
        <f t="shared" si="85"/>
        <v>0</v>
      </c>
      <c r="U66" s="30">
        <f t="shared" si="85"/>
        <v>0</v>
      </c>
      <c r="V66" s="30">
        <f t="shared" si="85"/>
        <v>666.70000000000027</v>
      </c>
      <c r="W66" s="30">
        <f>W48-W61</f>
        <v>672.87900000000013</v>
      </c>
      <c r="X66" s="30">
        <f t="shared" ref="X66:Y66" si="86">X48-X61</f>
        <v>668.16800000000012</v>
      </c>
      <c r="Y66" s="30">
        <f t="shared" si="86"/>
        <v>684.2819999999997</v>
      </c>
      <c r="AF66" s="57"/>
      <c r="AG66" s="30">
        <f t="shared" ref="AG66:AH66" si="87">AG48-AG61</f>
        <v>-0.31900000000018736</v>
      </c>
      <c r="AH66" s="30">
        <f t="shared" si="87"/>
        <v>666.68800000000033</v>
      </c>
    </row>
    <row r="67" spans="2:35" x14ac:dyDescent="0.2">
      <c r="B67" s="1" t="s">
        <v>127</v>
      </c>
      <c r="C67" s="1" t="e">
        <f t="shared" ref="C67:V67" si="88">C66/C23</f>
        <v>#DIV/0!</v>
      </c>
      <c r="D67" s="1" t="e">
        <f t="shared" si="88"/>
        <v>#DIV/0!</v>
      </c>
      <c r="E67" s="1" t="e">
        <f t="shared" si="88"/>
        <v>#DIV/0!</v>
      </c>
      <c r="F67" s="1" t="e">
        <f t="shared" si="88"/>
        <v>#DIV/0!</v>
      </c>
      <c r="G67" s="1" t="e">
        <f t="shared" si="88"/>
        <v>#DIV/0!</v>
      </c>
      <c r="H67" s="1" t="e">
        <f t="shared" si="88"/>
        <v>#DIV/0!</v>
      </c>
      <c r="I67" s="1" t="e">
        <f t="shared" si="88"/>
        <v>#DIV/0!</v>
      </c>
      <c r="J67" s="1" t="e">
        <f t="shared" si="88"/>
        <v>#DIV/0!</v>
      </c>
      <c r="K67" s="1" t="e">
        <f t="shared" si="88"/>
        <v>#DIV/0!</v>
      </c>
      <c r="L67" s="1" t="e">
        <f t="shared" si="88"/>
        <v>#DIV/0!</v>
      </c>
      <c r="M67" s="1" t="e">
        <f t="shared" si="88"/>
        <v>#DIV/0!</v>
      </c>
      <c r="N67" s="1" t="e">
        <f t="shared" si="88"/>
        <v>#DIV/0!</v>
      </c>
      <c r="O67" s="1" t="e">
        <f t="shared" si="88"/>
        <v>#DIV/0!</v>
      </c>
      <c r="P67" s="1" t="e">
        <f t="shared" si="88"/>
        <v>#DIV/0!</v>
      </c>
      <c r="Q67" s="1" t="e">
        <f t="shared" si="88"/>
        <v>#DIV/0!</v>
      </c>
      <c r="R67" s="1">
        <f t="shared" si="88"/>
        <v>0</v>
      </c>
      <c r="S67" s="1">
        <f t="shared" si="88"/>
        <v>0</v>
      </c>
      <c r="T67" s="1">
        <f t="shared" si="88"/>
        <v>0</v>
      </c>
      <c r="U67" s="1">
        <f t="shared" si="88"/>
        <v>0</v>
      </c>
      <c r="V67" s="1">
        <f>V66/V23</f>
        <v>10.326342790096973</v>
      </c>
      <c r="W67" s="1">
        <f>W66/W23</f>
        <v>9.9381740323846604</v>
      </c>
      <c r="X67" s="1">
        <f t="shared" ref="X67:Y67" si="89">X66/X23</f>
        <v>9.7779065041031146</v>
      </c>
      <c r="Y67" s="1">
        <f t="shared" si="89"/>
        <v>9.929101045342879</v>
      </c>
      <c r="AG67" s="1">
        <f t="shared" ref="AG67:AH67" si="90">AG66/AG23</f>
        <v>-5.4081909238584934E-3</v>
      </c>
      <c r="AH67" s="1">
        <f t="shared" si="90"/>
        <v>10.326156925219998</v>
      </c>
    </row>
    <row r="69" spans="2:35" s="38" customFormat="1" x14ac:dyDescent="0.2">
      <c r="B69" s="38" t="s">
        <v>5</v>
      </c>
      <c r="C69" s="34">
        <f t="shared" ref="C69:V69" si="91">C37+C38</f>
        <v>0</v>
      </c>
      <c r="D69" s="34">
        <f t="shared" si="91"/>
        <v>0</v>
      </c>
      <c r="E69" s="34">
        <f t="shared" si="91"/>
        <v>0</v>
      </c>
      <c r="F69" s="34">
        <f t="shared" si="91"/>
        <v>0</v>
      </c>
      <c r="G69" s="34">
        <f t="shared" si="91"/>
        <v>0</v>
      </c>
      <c r="H69" s="34">
        <f t="shared" si="91"/>
        <v>0</v>
      </c>
      <c r="I69" s="34">
        <f t="shared" si="91"/>
        <v>0</v>
      </c>
      <c r="J69" s="34">
        <f t="shared" si="91"/>
        <v>0</v>
      </c>
      <c r="K69" s="34">
        <f t="shared" si="91"/>
        <v>0</v>
      </c>
      <c r="L69" s="34">
        <f t="shared" si="91"/>
        <v>0</v>
      </c>
      <c r="M69" s="34">
        <f t="shared" si="91"/>
        <v>0</v>
      </c>
      <c r="N69" s="34">
        <f t="shared" si="91"/>
        <v>0</v>
      </c>
      <c r="O69" s="34">
        <f t="shared" si="91"/>
        <v>0</v>
      </c>
      <c r="P69" s="34">
        <f t="shared" si="91"/>
        <v>0</v>
      </c>
      <c r="Q69" s="34">
        <f t="shared" si="91"/>
        <v>0</v>
      </c>
      <c r="R69" s="34">
        <f t="shared" si="91"/>
        <v>0</v>
      </c>
      <c r="S69" s="34">
        <f t="shared" si="91"/>
        <v>0</v>
      </c>
      <c r="T69" s="34">
        <f t="shared" si="91"/>
        <v>0</v>
      </c>
      <c r="U69" s="34">
        <f t="shared" si="91"/>
        <v>0</v>
      </c>
      <c r="V69" s="34">
        <f t="shared" si="91"/>
        <v>1825.923</v>
      </c>
      <c r="W69" s="34">
        <f>W37+W38</f>
        <v>1828.6950000000002</v>
      </c>
      <c r="X69" s="34">
        <f>X37+X38</f>
        <v>1795.6120000000001</v>
      </c>
      <c r="Y69" s="34">
        <f t="shared" ref="Y69" si="92">Y37+Y38</f>
        <v>1787.5319999999999</v>
      </c>
      <c r="Z69" s="59"/>
      <c r="AG69" s="34">
        <f t="shared" ref="AG69:AH69" si="93">AG37+AG38</f>
        <v>957.74199999999996</v>
      </c>
      <c r="AH69" s="34">
        <f t="shared" si="93"/>
        <v>1825.923</v>
      </c>
      <c r="AI69" s="64"/>
    </row>
    <row r="70" spans="2:35" s="38" customFormat="1" x14ac:dyDescent="0.2">
      <c r="B70" s="38" t="s">
        <v>6</v>
      </c>
      <c r="C70" s="34">
        <f t="shared" ref="C70:V70" si="94">C59</f>
        <v>0</v>
      </c>
      <c r="D70" s="34">
        <f t="shared" si="94"/>
        <v>0</v>
      </c>
      <c r="E70" s="34">
        <f t="shared" si="94"/>
        <v>0</v>
      </c>
      <c r="F70" s="34">
        <f t="shared" si="94"/>
        <v>0</v>
      </c>
      <c r="G70" s="34">
        <f t="shared" si="94"/>
        <v>0</v>
      </c>
      <c r="H70" s="34">
        <f t="shared" si="94"/>
        <v>0</v>
      </c>
      <c r="I70" s="34">
        <f t="shared" si="94"/>
        <v>0</v>
      </c>
      <c r="J70" s="34">
        <f t="shared" si="94"/>
        <v>0</v>
      </c>
      <c r="K70" s="34">
        <f t="shared" si="94"/>
        <v>0</v>
      </c>
      <c r="L70" s="34">
        <f t="shared" si="94"/>
        <v>0</v>
      </c>
      <c r="M70" s="34">
        <f t="shared" si="94"/>
        <v>0</v>
      </c>
      <c r="N70" s="34">
        <f t="shared" si="94"/>
        <v>0</v>
      </c>
      <c r="O70" s="34">
        <f t="shared" si="94"/>
        <v>0</v>
      </c>
      <c r="P70" s="34">
        <f t="shared" si="94"/>
        <v>0</v>
      </c>
      <c r="Q70" s="34">
        <f t="shared" si="94"/>
        <v>0</v>
      </c>
      <c r="R70" s="34">
        <f t="shared" si="94"/>
        <v>0</v>
      </c>
      <c r="S70" s="34">
        <f t="shared" si="94"/>
        <v>0</v>
      </c>
      <c r="T70" s="34">
        <f t="shared" si="94"/>
        <v>0</v>
      </c>
      <c r="U70" s="34">
        <f t="shared" si="94"/>
        <v>0</v>
      </c>
      <c r="V70" s="34">
        <f t="shared" si="94"/>
        <v>1136.521</v>
      </c>
      <c r="W70" s="34">
        <f>W59</f>
        <v>1137.3610000000001</v>
      </c>
      <c r="X70" s="34">
        <f>X59</f>
        <v>1138.2</v>
      </c>
      <c r="Y70" s="34">
        <f t="shared" ref="Y70" si="95">Y59</f>
        <v>1139.0419999999999</v>
      </c>
      <c r="Z70" s="59"/>
      <c r="AG70" s="34">
        <f t="shared" ref="AG70:AH70" si="96">AG59</f>
        <v>937.72900000000004</v>
      </c>
      <c r="AH70" s="34">
        <f t="shared" si="96"/>
        <v>1136.521</v>
      </c>
      <c r="AI70" s="64"/>
    </row>
    <row r="71" spans="2:35" x14ac:dyDescent="0.2">
      <c r="B71" s="1" t="s">
        <v>7</v>
      </c>
      <c r="C71" s="30">
        <f t="shared" ref="C71:V71" si="97">C69-C70</f>
        <v>0</v>
      </c>
      <c r="D71" s="30">
        <f t="shared" si="97"/>
        <v>0</v>
      </c>
      <c r="E71" s="30">
        <f t="shared" si="97"/>
        <v>0</v>
      </c>
      <c r="F71" s="30">
        <f t="shared" si="97"/>
        <v>0</v>
      </c>
      <c r="G71" s="30">
        <f t="shared" si="97"/>
        <v>0</v>
      </c>
      <c r="H71" s="30">
        <f t="shared" si="97"/>
        <v>0</v>
      </c>
      <c r="I71" s="30">
        <f t="shared" si="97"/>
        <v>0</v>
      </c>
      <c r="J71" s="30">
        <f t="shared" si="97"/>
        <v>0</v>
      </c>
      <c r="K71" s="30">
        <f t="shared" si="97"/>
        <v>0</v>
      </c>
      <c r="L71" s="30">
        <f t="shared" si="97"/>
        <v>0</v>
      </c>
      <c r="M71" s="30">
        <f t="shared" si="97"/>
        <v>0</v>
      </c>
      <c r="N71" s="30">
        <f t="shared" si="97"/>
        <v>0</v>
      </c>
      <c r="O71" s="30">
        <f t="shared" si="97"/>
        <v>0</v>
      </c>
      <c r="P71" s="30">
        <f t="shared" si="97"/>
        <v>0</v>
      </c>
      <c r="Q71" s="30">
        <f t="shared" si="97"/>
        <v>0</v>
      </c>
      <c r="R71" s="30">
        <f t="shared" si="97"/>
        <v>0</v>
      </c>
      <c r="S71" s="30">
        <f t="shared" si="97"/>
        <v>0</v>
      </c>
      <c r="T71" s="30">
        <f t="shared" si="97"/>
        <v>0</v>
      </c>
      <c r="U71" s="30">
        <f t="shared" si="97"/>
        <v>0</v>
      </c>
      <c r="V71" s="30">
        <f t="shared" si="97"/>
        <v>689.40200000000004</v>
      </c>
      <c r="W71" s="30">
        <f>W69-W70</f>
        <v>691.33400000000006</v>
      </c>
      <c r="X71" s="30">
        <f>X69-X70</f>
        <v>657.41200000000003</v>
      </c>
      <c r="Y71" s="30">
        <f t="shared" ref="Y71" si="98">Y69-Y70</f>
        <v>648.49</v>
      </c>
      <c r="AG71" s="30">
        <f t="shared" ref="AG71" si="99">AG69-AG70</f>
        <v>20.01299999999992</v>
      </c>
      <c r="AH71" s="30">
        <f t="shared" ref="AH71" si="100">AH69-AH70</f>
        <v>689.40200000000004</v>
      </c>
    </row>
    <row r="73" spans="2:35" x14ac:dyDescent="0.2">
      <c r="B73" s="1" t="s">
        <v>128</v>
      </c>
      <c r="V73" s="1">
        <v>405.11</v>
      </c>
      <c r="W73" s="30">
        <v>354.93</v>
      </c>
      <c r="X73" s="1">
        <v>312.47000000000003</v>
      </c>
      <c r="Y73" s="1">
        <v>183.03</v>
      </c>
      <c r="AG73" s="1">
        <v>369.61</v>
      </c>
      <c r="AH73" s="1">
        <f>V73</f>
        <v>405.11</v>
      </c>
    </row>
    <row r="74" spans="2:35" x14ac:dyDescent="0.2">
      <c r="B74" s="1" t="s">
        <v>4</v>
      </c>
      <c r="V74" s="30">
        <f t="shared" ref="V74" si="101">V73*V23</f>
        <v>26155.129893520003</v>
      </c>
      <c r="W74" s="30">
        <f>W73*W23</f>
        <v>24031.06875486</v>
      </c>
      <c r="X74" s="30">
        <f t="shared" ref="X74:Y74" si="102">X73*X23</f>
        <v>21352.46996608</v>
      </c>
      <c r="Y74" s="30">
        <f t="shared" si="102"/>
        <v>12613.844283390001</v>
      </c>
      <c r="AG74" s="30">
        <f t="shared" ref="AG74" si="103">AG73*AG23</f>
        <v>21801.299484439998</v>
      </c>
      <c r="AH74" s="30">
        <f>AH73*AH23</f>
        <v>26155.129893520003</v>
      </c>
    </row>
    <row r="75" spans="2:35" x14ac:dyDescent="0.2">
      <c r="B75" s="1" t="s">
        <v>8</v>
      </c>
      <c r="V75" s="30">
        <f t="shared" ref="V75" si="104">V74-V71</f>
        <v>25465.727893520001</v>
      </c>
      <c r="W75" s="30">
        <f>W74-W71</f>
        <v>23339.734754860001</v>
      </c>
      <c r="X75" s="30">
        <f t="shared" ref="X75:Y75" si="105">X74-X71</f>
        <v>20695.057966079999</v>
      </c>
      <c r="Y75" s="30">
        <f t="shared" si="105"/>
        <v>11965.354283390001</v>
      </c>
      <c r="AG75" s="30">
        <f t="shared" ref="AG75" si="106">AG74-AG71</f>
        <v>21781.286484439999</v>
      </c>
      <c r="AH75" s="30">
        <f>AH74-AH71</f>
        <v>25465.727893520001</v>
      </c>
    </row>
    <row r="77" spans="2:35" x14ac:dyDescent="0.2">
      <c r="B77" s="1" t="s">
        <v>21</v>
      </c>
      <c r="V77" s="40">
        <f>V73/V67</f>
        <v>39.230733303614812</v>
      </c>
      <c r="W77" s="40">
        <f>W73/W67</f>
        <v>35.713804049256993</v>
      </c>
      <c r="X77" s="40">
        <f t="shared" ref="X77:Y77" si="107">X73/X67</f>
        <v>31.956738374301072</v>
      </c>
      <c r="Y77" s="40">
        <f t="shared" si="107"/>
        <v>18.433692956105823</v>
      </c>
      <c r="AG77" s="58" t="s">
        <v>142</v>
      </c>
      <c r="AH77" s="40">
        <f>AH73/AH67</f>
        <v>39.231439434218089</v>
      </c>
    </row>
    <row r="78" spans="2:35" x14ac:dyDescent="0.2">
      <c r="B78" s="1" t="s">
        <v>22</v>
      </c>
      <c r="V78" s="40">
        <f t="shared" ref="V78:X78" si="108">V74/SUM(S6:V6)</f>
        <v>29.93324409694867</v>
      </c>
      <c r="W78" s="40">
        <f t="shared" si="108"/>
        <v>24.582176571414543</v>
      </c>
      <c r="X78" s="40">
        <f t="shared" si="108"/>
        <v>19.725254796867233</v>
      </c>
      <c r="Y78" s="40">
        <f>Y74/SUM(V6:Y6)</f>
        <v>10.606803677858297</v>
      </c>
      <c r="AG78" s="40">
        <f t="shared" ref="AG78:AH78" si="109">AG74/AG6</f>
        <v>36.927571198956599</v>
      </c>
      <c r="AH78" s="40">
        <f>AH74/AH6</f>
        <v>29.93324409694867</v>
      </c>
    </row>
    <row r="79" spans="2:35" x14ac:dyDescent="0.2">
      <c r="B79" s="1" t="s">
        <v>23</v>
      </c>
      <c r="V79" s="40">
        <f t="shared" ref="V79:X79" si="110">V75/SUM(S6:V6)</f>
        <v>29.144257828062376</v>
      </c>
      <c r="W79" s="40">
        <f t="shared" si="110"/>
        <v>23.874988113373725</v>
      </c>
      <c r="X79" s="40">
        <f t="shared" si="110"/>
        <v>19.117942423773247</v>
      </c>
      <c r="Y79" s="40">
        <f>Y75/SUM(V6:Y6)</f>
        <v>10.061497586985441</v>
      </c>
      <c r="AG79" s="40">
        <f t="shared" ref="AG79:AH79" si="111">AG75/AG6</f>
        <v>36.893672692909654</v>
      </c>
      <c r="AH79" s="40">
        <f>AH75/AH6</f>
        <v>29.144257828062376</v>
      </c>
    </row>
    <row r="80" spans="2:35" x14ac:dyDescent="0.2">
      <c r="B80" s="1" t="s">
        <v>20</v>
      </c>
      <c r="V80" s="40">
        <f t="shared" ref="V80" si="112">V73/SUM(S22:V22)</f>
        <v>-84.508678490299772</v>
      </c>
      <c r="W80" s="40">
        <f t="shared" ref="W80:X80" si="113">W73/SUM(T22:W22)</f>
        <v>-72.546524492411535</v>
      </c>
      <c r="X80" s="40">
        <f t="shared" si="113"/>
        <v>-57.695906234315359</v>
      </c>
      <c r="Y80" s="40">
        <f>Y73/SUM(V22:Y22)</f>
        <v>-33.274743486600045</v>
      </c>
      <c r="AG80" s="40">
        <f t="shared" ref="AG80:AH80" si="114">AG73/AG22</f>
        <v>-81.669936332863827</v>
      </c>
      <c r="AH80" s="40">
        <f>AH73/AH22</f>
        <v>-85.233065551478504</v>
      </c>
    </row>
    <row r="81" spans="2:25" x14ac:dyDescent="0.2">
      <c r="B81" s="1" t="s">
        <v>24</v>
      </c>
      <c r="V81" s="40"/>
      <c r="W81" s="40"/>
      <c r="X81" s="40"/>
      <c r="Y81" s="40"/>
    </row>
    <row r="82" spans="2:25" x14ac:dyDescent="0.2">
      <c r="B82" s="1" t="s">
        <v>129</v>
      </c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H1" r:id="rId4" xr:uid="{AD1CDE78-BFA1-4502-94FA-12E996AA6832}"/>
  </hyperlinks>
  <pageMargins left="0.7" right="0.7" top="0.75" bottom="0.75" header="0.3" footer="0.3"/>
  <pageSetup paperSize="256" orientation="portrait" horizontalDpi="203" verticalDpi="203" r:id="rId5"/>
  <ignoredErrors>
    <ignoredError sqref="AF4 AF5" formulaRange="1"/>
    <ignoredError sqref="AH42 AH55 V6:V23 R6 R19 AI10 AI19:AI21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2022-12-11T15:41:32Z</dcterms:modified>
</cp:coreProperties>
</file>