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F4DADFF-4FAA-43B7-9791-D294BDA7178A}" xr6:coauthVersionLast="47" xr6:coauthVersionMax="47" xr10:uidLastSave="{00000000-0000-0000-0000-000000000000}"/>
  <bookViews>
    <workbookView xWindow="-120" yWindow="-120" windowWidth="29040" windowHeight="15720" xr2:uid="{44DF1F66-8CA7-4F9E-A18D-70E48010111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Z36" i="2"/>
  <c r="Z34" i="2"/>
  <c r="C28" i="1"/>
  <c r="C27" i="1"/>
  <c r="Y38" i="2"/>
  <c r="X38" i="2"/>
  <c r="Z38" i="2"/>
  <c r="N36" i="2"/>
  <c r="M36" i="2"/>
  <c r="L36" i="2"/>
  <c r="K36" i="2"/>
  <c r="J36" i="2"/>
  <c r="I36" i="2"/>
  <c r="H36" i="2"/>
  <c r="G36" i="2"/>
  <c r="N34" i="2"/>
  <c r="M34" i="2"/>
  <c r="L34" i="2"/>
  <c r="K34" i="2"/>
  <c r="J34" i="2"/>
  <c r="I34" i="2"/>
  <c r="H34" i="2"/>
  <c r="G34" i="2"/>
  <c r="Y72" i="2"/>
  <c r="Y76" i="2" s="1"/>
  <c r="Z72" i="2"/>
  <c r="Z76" i="2" s="1"/>
  <c r="Y68" i="2"/>
  <c r="Y67" i="2"/>
  <c r="Y48" i="2"/>
  <c r="Y55" i="2"/>
  <c r="Y59" i="2" s="1"/>
  <c r="Y62" i="2" s="1"/>
  <c r="Y45" i="2"/>
  <c r="Y50" i="2" s="1"/>
  <c r="Y64" i="2" s="1"/>
  <c r="Y65" i="2" s="1"/>
  <c r="Y75" i="2" s="1"/>
  <c r="W16" i="1"/>
  <c r="Z68" i="2"/>
  <c r="C10" i="1" s="1"/>
  <c r="Z67" i="2"/>
  <c r="C9" i="1" s="1"/>
  <c r="Z55" i="2"/>
  <c r="Z59" i="2" s="1"/>
  <c r="Z62" i="2" s="1"/>
  <c r="Z48" i="2"/>
  <c r="Z45" i="2"/>
  <c r="Z50" i="2" s="1"/>
  <c r="C7" i="1"/>
  <c r="Y6" i="2"/>
  <c r="Y21" i="2" s="1"/>
  <c r="X6" i="2"/>
  <c r="X21" i="2" s="1"/>
  <c r="Z6" i="2"/>
  <c r="Z21" i="2" s="1"/>
  <c r="Y27" i="2"/>
  <c r="Z27" i="2"/>
  <c r="Z64" i="2" l="1"/>
  <c r="Z65" i="2" s="1"/>
  <c r="Z75" i="2" s="1"/>
  <c r="Y69" i="2"/>
  <c r="Y73" i="2"/>
  <c r="X10" i="2"/>
  <c r="X14" i="2" s="1"/>
  <c r="X16" i="2" s="1"/>
  <c r="X17" i="2" s="1"/>
  <c r="Y10" i="2"/>
  <c r="Y14" i="2" s="1"/>
  <c r="Y16" i="2" s="1"/>
  <c r="Y17" i="2" s="1"/>
  <c r="Y78" i="2" s="1"/>
  <c r="C40" i="1"/>
  <c r="Z10" i="2"/>
  <c r="Z69" i="2"/>
  <c r="Z73" i="2" s="1"/>
  <c r="C11" i="1"/>
  <c r="C8" i="1"/>
  <c r="Z77" i="2" l="1"/>
  <c r="Y79" i="2"/>
  <c r="Y77" i="2"/>
  <c r="X24" i="2"/>
  <c r="Y22" i="2"/>
  <c r="X22" i="2"/>
  <c r="Y24" i="2"/>
  <c r="Y23" i="2"/>
  <c r="X23" i="2"/>
  <c r="Z14" i="2"/>
  <c r="Z22" i="2"/>
  <c r="C36" i="1"/>
  <c r="C12" i="1"/>
  <c r="Z16" i="2" l="1"/>
  <c r="Z24" i="2"/>
  <c r="C37" i="1"/>
  <c r="C39" i="1" l="1"/>
  <c r="Z79" i="2"/>
  <c r="Z23" i="2"/>
  <c r="Z17" i="2"/>
  <c r="C38" i="1" l="1"/>
  <c r="Z78" i="2"/>
</calcChain>
</file>

<file path=xl/sharedStrings.xml><?xml version="1.0" encoding="utf-8"?>
<sst xmlns="http://schemas.openxmlformats.org/spreadsheetml/2006/main" count="151" uniqueCount="125">
  <si>
    <t>$SNAP</t>
  </si>
  <si>
    <t>Snap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</si>
  <si>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</si>
  <si>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</si>
  <si>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</si>
  <si>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</si>
  <si>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</si>
  <si>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</si>
  <si>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</si>
  <si>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</si>
  <si>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</si>
  <si>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</si>
  <si>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</si>
  <si>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</si>
  <si>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</si>
  <si>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</si>
  <si>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</si>
  <si>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</si>
  <si>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</si>
  <si>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DAU</t>
  </si>
  <si>
    <t>IR</t>
  </si>
  <si>
    <t>Valuation Metrics</t>
  </si>
  <si>
    <t>P/S</t>
  </si>
  <si>
    <t>EV/S</t>
  </si>
  <si>
    <t>P/E</t>
  </si>
  <si>
    <t>EV/E</t>
  </si>
  <si>
    <t>P/B</t>
  </si>
  <si>
    <t>Key Events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</si>
  <si>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</si>
  <si>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</si>
  <si>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</si>
  <si>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</si>
  <si>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</si>
  <si>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</si>
  <si>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</si>
  <si>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</si>
  <si>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</si>
  <si>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</si>
  <si>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</si>
  <si>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</si>
  <si>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</si>
  <si>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</si>
  <si>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Santa Monica, CA</t>
  </si>
  <si>
    <t>Derek Anderson</t>
  </si>
  <si>
    <t>Evan Spiegel</t>
  </si>
  <si>
    <t>CoFound</t>
  </si>
  <si>
    <t>Robert Murphy</t>
  </si>
  <si>
    <t>Emplye.</t>
  </si>
  <si>
    <t>Link</t>
  </si>
  <si>
    <t>1,280 employees laid off</t>
  </si>
  <si>
    <t>170 employees laid off</t>
  </si>
  <si>
    <t>20 employees laid off</t>
  </si>
  <si>
    <t>500 employees laid off</t>
  </si>
  <si>
    <t>Multiple layoffs since 22</t>
  </si>
  <si>
    <t xml:space="preserve"> </t>
  </si>
  <si>
    <t>Q423</t>
  </si>
  <si>
    <t>Q323</t>
  </si>
  <si>
    <t>Q223</t>
  </si>
  <si>
    <t>Q123</t>
  </si>
  <si>
    <t>Q422</t>
  </si>
  <si>
    <t>Q322</t>
  </si>
  <si>
    <t>Q222</t>
  </si>
  <si>
    <t>Q122</t>
  </si>
  <si>
    <t>Revenue</t>
  </si>
  <si>
    <t>COGS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</si>
  <si>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</si>
  <si>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</si>
  <si>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</si>
  <si>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</si>
  <si>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</si>
  <si>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</si>
  <si>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</si>
  <si>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</si>
  <si>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</si>
  <si>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</si>
  <si>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</si>
  <si>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</si>
  <si>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</si>
  <si>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</si>
  <si>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</si>
  <si>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Taxes</t>
  </si>
  <si>
    <t>Net Income</t>
  </si>
  <si>
    <t>EPS</t>
  </si>
  <si>
    <t>-</t>
  </si>
  <si>
    <t>Non-Finance Metrics</t>
  </si>
  <si>
    <t>Ads</t>
  </si>
  <si>
    <t>Balance Sheet</t>
  </si>
  <si>
    <t>Marketable Securities</t>
  </si>
  <si>
    <t>A/R</t>
  </si>
  <si>
    <t>Prepaid Expenses &amp; OCA</t>
  </si>
  <si>
    <t>TCA</t>
  </si>
  <si>
    <t>PP&amp;E</t>
  </si>
  <si>
    <t>Operating Lease ROU</t>
  </si>
  <si>
    <t>Goodwill+Intangibles</t>
  </si>
  <si>
    <t>Other Assets</t>
  </si>
  <si>
    <t>Assets</t>
  </si>
  <si>
    <t>A/P</t>
  </si>
  <si>
    <t>Operating Lease Liabilities</t>
  </si>
  <si>
    <t>Accrued Expenses &amp; OCL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</si>
  <si>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</si>
  <si>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</si>
  <si>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</si>
  <si>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</si>
  <si>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</si>
  <si>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</si>
  <si>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</si>
  <si>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</si>
  <si>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Update</t>
  </si>
  <si>
    <t>Camera and AR</t>
  </si>
  <si>
    <t>Product &amp; Tech</t>
  </si>
  <si>
    <t>Expiring Messages</t>
  </si>
  <si>
    <t>Layoffs</t>
  </si>
  <si>
    <t>Snapchat Premium</t>
  </si>
  <si>
    <t>Share Price</t>
  </si>
  <si>
    <t>ARPU</t>
  </si>
  <si>
    <t>Q421</t>
  </si>
  <si>
    <t>Snap Ads</t>
  </si>
  <si>
    <t>Snap AR Ads</t>
  </si>
  <si>
    <t>R&amp;D Budget</t>
  </si>
  <si>
    <t>Q321</t>
  </si>
  <si>
    <t>Q221</t>
  </si>
  <si>
    <t>Q121</t>
  </si>
  <si>
    <t>DAU Q/Q [Y/Y]</t>
  </si>
  <si>
    <t>ARPU Q/Q [Y/Y]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</si>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</sst>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m\-yyyy"/>
    <numFmt numFmtId="166" formatCode="0.0\x"/>
    <numFmt numFmtId="167" formatCode="0.0\X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al"/>
    </font>
    <font>
      <b/>
      <sz val="10"/>
      <color theme="1"/>
      <name val="Ariaal"/>
    </font>
    <font>
      <sz val="10"/>
      <color theme="1" tint="0.499984740745262"/>
      <name val="Aria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al"/>
    </font>
    <font>
      <b/>
      <u/>
      <sz val="10"/>
      <color theme="1"/>
      <name val="Ariaal"/>
    </font>
    <font>
      <sz val="10"/>
      <color theme="4"/>
      <name val="Aria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1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7" fillId="0" borderId="0" xfId="1" applyFont="1" applyAlignment="1">
      <alignment horizontal="right"/>
    </xf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/>
    <xf numFmtId="0" fontId="4" fillId="0" borderId="0" xfId="0" applyFont="1"/>
    <xf numFmtId="9" fontId="3" fillId="0" borderId="0" xfId="0" applyNumberFormat="1" applyFont="1"/>
    <xf numFmtId="9" fontId="4" fillId="0" borderId="0" xfId="0" applyNumberFormat="1" applyFont="1"/>
    <xf numFmtId="3" fontId="1" fillId="0" borderId="0" xfId="0" applyNumberFormat="1" applyFont="1"/>
    <xf numFmtId="4" fontId="3" fillId="0" borderId="0" xfId="0" applyNumberFormat="1" applyFont="1"/>
    <xf numFmtId="0" fontId="10" fillId="0" borderId="0" xfId="0" applyFont="1"/>
    <xf numFmtId="167" fontId="3" fillId="0" borderId="0" xfId="0" applyNumberFormat="1" applyFont="1"/>
    <xf numFmtId="17" fontId="1" fillId="4" borderId="4" xfId="0" applyNumberFormat="1" applyFont="1" applyFill="1" applyBorder="1" applyAlignment="1">
      <alignment horizontal="center"/>
    </xf>
    <xf numFmtId="17" fontId="1" fillId="4" borderId="6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3" fontId="2" fillId="0" borderId="0" xfId="0" applyNumberFormat="1" applyFont="1"/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9" fontId="11" fillId="0" borderId="0" xfId="0" applyNumberFormat="1" applyFont="1" applyAlignment="1">
      <alignment horizontal="left" indent="1"/>
    </xf>
    <xf numFmtId="9" fontId="11" fillId="0" borderId="0" xfId="0" applyNumberFormat="1" applyFont="1"/>
    <xf numFmtId="0" fontId="8" fillId="0" borderId="0" xfId="0" applyFont="1" applyAlignment="1">
      <alignment horizontal="left" indent="1"/>
    </xf>
    <xf numFmtId="3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66675</xdr:rowOff>
    </xdr:from>
    <xdr:to>
      <xdr:col>3</xdr:col>
      <xdr:colOff>595891</xdr:colOff>
      <xdr:row>3</xdr:row>
      <xdr:rowOff>66675</xdr:rowOff>
    </xdr:to>
    <xdr:pic>
      <xdr:nvPicPr>
        <xdr:cNvPr id="2" name="Picture 1" descr="Snap Inc announces new Snap Kit exporting Snapchat features to 3rd party  apps - Neowin">
          <a:extLst>
            <a:ext uri="{FF2B5EF4-FFF2-40B4-BE49-F238E27FC236}">
              <a16:creationId xmlns:a16="http://schemas.microsoft.com/office/drawing/2014/main" id="{32069B94-ADC9-4A1D-B650-F8F36A632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66675"/>
          <a:ext cx="862591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26</xdr:col>
      <xdr:colOff>0</xdr:colOff>
      <xdr:row>108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B4DA26F-ABC2-4521-A6A7-16B3677B3708}"/>
            </a:ext>
          </a:extLst>
        </xdr:cNvPr>
        <xdr:cNvCxnSpPr/>
      </xdr:nvCxnSpPr>
      <xdr:spPr>
        <a:xfrm>
          <a:off x="16516350" y="0"/>
          <a:ext cx="0" cy="16640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snap.com/financials/quarterly-result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s25.q4cdn.com/442043304/files/doc_financials/2023/q4/SNAP-2023-Annual-Report.pdf" TargetMode="External"/><Relationship Id="rId1" Type="http://schemas.openxmlformats.org/officeDocument/2006/relationships/hyperlink" Target="https://s25.q4cdn.com/442043304/files/doc_financials/2023/q4/SNAP-2023-Annua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FA7D-03CB-4515-B61E-E567BC9E1CC0}">
  <dimension ref="B2:W40"/>
  <sheetViews>
    <sheetView tabSelected="1" workbookViewId="0">
      <selection activeCell="C32" sqref="C32:D32"/>
    </sheetView>
  </sheetViews>
  <sheetFormatPr defaultRowHeight="12.75"/>
  <cols>
    <col min="1" max="7" width="9.140625" style="1"/>
    <col min="8" max="8" width="9.140625" style="1" customWidth="1"/>
    <col min="9" max="16384" width="9.140625" style="1"/>
  </cols>
  <sheetData>
    <row r="2" spans="2:23">
      <c r="B2" s="2" t="s">
        <v>0</v>
      </c>
    </row>
    <row r="3" spans="2:23">
      <c r="B3" s="2" t="s">
        <v>1</v>
      </c>
    </row>
    <row r="5" spans="2:23">
      <c r="B5" s="47" t="s">
        <v>2</v>
      </c>
      <c r="C5" s="48"/>
      <c r="D5" s="49"/>
      <c r="G5" s="47" t="s">
        <v>27</v>
      </c>
      <c r="H5" s="48"/>
      <c r="I5" s="48"/>
      <c r="J5" s="48"/>
      <c r="K5" s="48"/>
      <c r="L5" s="48"/>
      <c r="M5" s="48"/>
      <c r="N5" s="48"/>
      <c r="O5" s="49"/>
      <c r="U5" s="52" t="s">
        <v>109</v>
      </c>
      <c r="V5" s="52"/>
    </row>
    <row r="6" spans="2:23">
      <c r="B6" s="3" t="s">
        <v>3</v>
      </c>
      <c r="C6" s="9">
        <v>11.03</v>
      </c>
      <c r="D6" s="7"/>
      <c r="G6" s="24">
        <v>45323</v>
      </c>
      <c r="H6" s="11" t="s">
        <v>52</v>
      </c>
      <c r="I6" s="11"/>
      <c r="J6" s="11"/>
      <c r="K6" s="11"/>
      <c r="L6" s="11"/>
      <c r="M6" s="11"/>
      <c r="N6" s="11"/>
      <c r="O6" s="12"/>
      <c r="U6" s="1" t="s">
        <v>110</v>
      </c>
    </row>
    <row r="7" spans="2:23">
      <c r="B7" s="3" t="s">
        <v>4</v>
      </c>
      <c r="C7" s="34">
        <f>+'Financial Model'!Z18</f>
        <v>1612.5039999999999</v>
      </c>
      <c r="D7" s="7" t="s">
        <v>33</v>
      </c>
      <c r="G7" s="14"/>
      <c r="H7" s="11"/>
      <c r="I7" s="11"/>
      <c r="J7" s="11"/>
      <c r="K7" s="11"/>
      <c r="L7" s="11"/>
      <c r="M7" s="11"/>
      <c r="N7" s="11"/>
      <c r="O7" s="12"/>
      <c r="U7" s="1" t="s">
        <v>108</v>
      </c>
    </row>
    <row r="8" spans="2:23">
      <c r="B8" s="3" t="s">
        <v>5</v>
      </c>
      <c r="C8" s="5">
        <f>+C6*C7</f>
        <v>17785.919119999999</v>
      </c>
      <c r="D8" s="7"/>
      <c r="G8" s="24">
        <v>45231</v>
      </c>
      <c r="H8" s="11" t="s">
        <v>51</v>
      </c>
      <c r="I8" s="11"/>
      <c r="J8" s="11"/>
      <c r="K8" s="11"/>
      <c r="L8" s="11"/>
      <c r="M8" s="11"/>
      <c r="N8" s="11"/>
      <c r="O8" s="12"/>
      <c r="U8" s="1" t="s">
        <v>112</v>
      </c>
    </row>
    <row r="9" spans="2:23">
      <c r="B9" s="3" t="s">
        <v>6</v>
      </c>
      <c r="C9" s="5">
        <f>+'Financial Model'!Z67</f>
        <v>3544.08</v>
      </c>
      <c r="D9" s="7" t="s">
        <v>33</v>
      </c>
      <c r="G9" s="14"/>
      <c r="H9" s="11"/>
      <c r="I9" s="11"/>
      <c r="J9" s="11"/>
      <c r="K9" s="11"/>
      <c r="L9" s="11"/>
      <c r="M9" s="11"/>
      <c r="N9" s="11"/>
      <c r="O9" s="12"/>
      <c r="U9" s="1" t="s">
        <v>85</v>
      </c>
    </row>
    <row r="10" spans="2:23">
      <c r="B10" s="3" t="s">
        <v>7</v>
      </c>
      <c r="C10" s="5">
        <f>+'Financial Model'!Z68</f>
        <v>3749.4</v>
      </c>
      <c r="D10" s="7" t="s">
        <v>33</v>
      </c>
      <c r="G10" s="14"/>
      <c r="H10" s="11"/>
      <c r="I10" s="11"/>
      <c r="J10" s="11"/>
      <c r="K10" s="11"/>
      <c r="L10" s="11"/>
      <c r="M10" s="11"/>
      <c r="N10" s="11"/>
      <c r="O10" s="12"/>
      <c r="U10" s="63" t="s">
        <v>116</v>
      </c>
    </row>
    <row r="11" spans="2:23">
      <c r="B11" s="3" t="s">
        <v>8</v>
      </c>
      <c r="C11" s="5">
        <f>+C9-C10</f>
        <v>-205.32000000000016</v>
      </c>
      <c r="D11" s="7" t="s">
        <v>33</v>
      </c>
      <c r="G11" s="24">
        <v>45170</v>
      </c>
      <c r="H11" s="11" t="s">
        <v>50</v>
      </c>
      <c r="I11" s="11"/>
      <c r="J11" s="11"/>
      <c r="K11" s="11"/>
      <c r="L11" s="11"/>
      <c r="M11" s="11"/>
      <c r="N11" s="11"/>
      <c r="O11" s="12"/>
      <c r="U11" s="63" t="s">
        <v>117</v>
      </c>
    </row>
    <row r="12" spans="2:23">
      <c r="B12" s="4" t="s">
        <v>9</v>
      </c>
      <c r="C12" s="6">
        <f>+C8-C11</f>
        <v>17991.239119999998</v>
      </c>
      <c r="D12" s="8"/>
      <c r="G12" s="14"/>
      <c r="H12" s="11"/>
      <c r="I12" s="11"/>
      <c r="J12" s="11"/>
      <c r="K12" s="11"/>
      <c r="L12" s="11"/>
      <c r="M12" s="11"/>
      <c r="N12" s="11"/>
      <c r="O12" s="12"/>
    </row>
    <row r="13" spans="2:23">
      <c r="G13" s="14"/>
      <c r="H13" s="11"/>
      <c r="I13" s="11"/>
      <c r="J13" s="11"/>
      <c r="K13" s="11"/>
      <c r="L13" s="11"/>
      <c r="M13" s="11"/>
      <c r="N13" s="11"/>
      <c r="O13" s="12"/>
    </row>
    <row r="14" spans="2:23">
      <c r="G14" s="14"/>
      <c r="H14" s="11"/>
      <c r="I14" s="11"/>
      <c r="J14" s="11"/>
      <c r="K14" s="11"/>
      <c r="L14" s="11"/>
      <c r="M14" s="11"/>
      <c r="N14" s="11"/>
      <c r="O14" s="12"/>
    </row>
    <row r="15" spans="2:23">
      <c r="B15" s="47" t="s">
        <v>10</v>
      </c>
      <c r="C15" s="48"/>
      <c r="D15" s="49"/>
      <c r="G15" s="14"/>
      <c r="H15" s="11"/>
      <c r="I15" s="11"/>
      <c r="J15" s="11"/>
      <c r="K15" s="11"/>
      <c r="L15" s="11"/>
      <c r="M15" s="11"/>
      <c r="N15" s="11"/>
      <c r="O15" s="12"/>
    </row>
    <row r="16" spans="2:23">
      <c r="B16" s="10" t="s">
        <v>11</v>
      </c>
      <c r="C16" s="50" t="s">
        <v>44</v>
      </c>
      <c r="D16" s="51"/>
      <c r="E16" s="1" t="s">
        <v>45</v>
      </c>
      <c r="G16" s="14"/>
      <c r="H16" s="11"/>
      <c r="I16" s="11"/>
      <c r="J16" s="11"/>
      <c r="K16" s="11"/>
      <c r="L16" s="11"/>
      <c r="M16" s="11"/>
      <c r="N16" s="11"/>
      <c r="O16" s="12"/>
      <c r="U16" s="47" t="s">
        <v>111</v>
      </c>
      <c r="V16" s="49"/>
      <c r="W16" s="42">
        <f>SUM(V17:V20)</f>
        <v>1970</v>
      </c>
    </row>
    <row r="17" spans="2:22">
      <c r="B17" s="10" t="s">
        <v>12</v>
      </c>
      <c r="C17" s="50" t="s">
        <v>43</v>
      </c>
      <c r="D17" s="51"/>
      <c r="G17" s="14"/>
      <c r="H17" s="11"/>
      <c r="I17" s="11"/>
      <c r="J17" s="11"/>
      <c r="K17" s="11"/>
      <c r="L17" s="11"/>
      <c r="M17" s="11"/>
      <c r="N17" s="11"/>
      <c r="O17" s="12"/>
      <c r="U17" s="38">
        <v>45323</v>
      </c>
      <c r="V17" s="40">
        <v>500</v>
      </c>
    </row>
    <row r="18" spans="2:22">
      <c r="B18" s="10" t="s">
        <v>13</v>
      </c>
      <c r="C18" s="50" t="s">
        <v>46</v>
      </c>
      <c r="D18" s="51"/>
      <c r="E18" s="1" t="s">
        <v>45</v>
      </c>
      <c r="G18" s="14"/>
      <c r="H18" s="11"/>
      <c r="I18" s="11"/>
      <c r="J18" s="11"/>
      <c r="K18" s="11"/>
      <c r="L18" s="11"/>
      <c r="M18" s="11"/>
      <c r="N18" s="11"/>
      <c r="O18" s="12"/>
      <c r="U18" s="38">
        <v>45231</v>
      </c>
      <c r="V18" s="40">
        <v>20</v>
      </c>
    </row>
    <row r="19" spans="2:22">
      <c r="B19" s="13" t="s">
        <v>14</v>
      </c>
      <c r="C19" s="59"/>
      <c r="D19" s="60"/>
      <c r="G19" s="24">
        <v>44774</v>
      </c>
      <c r="H19" s="11" t="s">
        <v>49</v>
      </c>
      <c r="I19" s="11"/>
      <c r="J19" s="11"/>
      <c r="K19" s="11"/>
      <c r="L19" s="11"/>
      <c r="M19" s="11"/>
      <c r="N19" s="11"/>
      <c r="O19" s="12"/>
      <c r="U19" s="38">
        <v>45170</v>
      </c>
      <c r="V19" s="40">
        <v>170</v>
      </c>
    </row>
    <row r="20" spans="2:22">
      <c r="G20" s="14"/>
      <c r="H20" s="11"/>
      <c r="I20" s="11"/>
      <c r="J20" s="11"/>
      <c r="K20" s="11"/>
      <c r="L20" s="11"/>
      <c r="M20" s="11"/>
      <c r="N20" s="11"/>
      <c r="O20" s="12"/>
      <c r="U20" s="39">
        <v>44774</v>
      </c>
      <c r="V20" s="41">
        <v>1280</v>
      </c>
    </row>
    <row r="21" spans="2:22">
      <c r="G21" s="14"/>
      <c r="H21" s="11"/>
      <c r="I21" s="11"/>
      <c r="J21" s="11"/>
      <c r="K21" s="11"/>
      <c r="L21" s="11"/>
      <c r="M21" s="11"/>
      <c r="N21" s="11"/>
      <c r="O21" s="12"/>
    </row>
    <row r="22" spans="2:22">
      <c r="B22" s="47" t="s">
        <v>15</v>
      </c>
      <c r="C22" s="48"/>
      <c r="D22" s="49"/>
      <c r="G22" s="15"/>
      <c r="H22" s="16"/>
      <c r="I22" s="16"/>
      <c r="J22" s="16"/>
      <c r="K22" s="16"/>
      <c r="L22" s="16"/>
      <c r="M22" s="16"/>
      <c r="N22" s="16"/>
      <c r="O22" s="17"/>
    </row>
    <row r="23" spans="2:22">
      <c r="B23" s="14" t="s">
        <v>16</v>
      </c>
      <c r="C23" s="50" t="s">
        <v>42</v>
      </c>
      <c r="D23" s="51"/>
    </row>
    <row r="24" spans="2:22">
      <c r="B24" s="14" t="s">
        <v>17</v>
      </c>
      <c r="C24" s="50">
        <v>2010</v>
      </c>
      <c r="D24" s="51"/>
    </row>
    <row r="25" spans="2:22">
      <c r="B25" s="14" t="s">
        <v>18</v>
      </c>
      <c r="C25" s="57">
        <v>42795</v>
      </c>
      <c r="D25" s="58"/>
    </row>
    <row r="26" spans="2:22">
      <c r="B26" s="14"/>
      <c r="C26" s="53"/>
      <c r="D26" s="54"/>
    </row>
    <row r="27" spans="2:22">
      <c r="B27" s="14" t="s">
        <v>19</v>
      </c>
      <c r="C27" s="50">
        <f>'Financial Model'!Z33</f>
        <v>414</v>
      </c>
      <c r="D27" s="51"/>
    </row>
    <row r="28" spans="2:22">
      <c r="B28" s="14" t="s">
        <v>114</v>
      </c>
      <c r="C28" s="50">
        <f>'Financial Model'!Z35</f>
        <v>3.29</v>
      </c>
      <c r="D28" s="51"/>
    </row>
    <row r="29" spans="2:22">
      <c r="B29" s="14" t="s">
        <v>47</v>
      </c>
      <c r="C29" s="64">
        <f>'Financial Model'!Z37</f>
        <v>5289</v>
      </c>
      <c r="D29" s="51"/>
      <c r="E29" s="25" t="s">
        <v>53</v>
      </c>
    </row>
    <row r="30" spans="2:22">
      <c r="B30" s="14"/>
      <c r="C30" s="53"/>
      <c r="D30" s="54"/>
    </row>
    <row r="31" spans="2:22">
      <c r="B31" s="14" t="s">
        <v>107</v>
      </c>
      <c r="C31" s="22" t="s">
        <v>33</v>
      </c>
      <c r="D31" s="23"/>
    </row>
    <row r="32" spans="2:22">
      <c r="B32" s="15" t="s">
        <v>20</v>
      </c>
      <c r="C32" s="55" t="s">
        <v>48</v>
      </c>
      <c r="D32" s="56"/>
    </row>
    <row r="35" spans="2:4">
      <c r="B35" s="47" t="s">
        <v>21</v>
      </c>
      <c r="C35" s="48"/>
      <c r="D35" s="49"/>
    </row>
    <row r="36" spans="2:4">
      <c r="B36" s="14" t="s">
        <v>22</v>
      </c>
      <c r="C36" s="43">
        <f>C8/'Financial Model'!Z4</f>
        <v>3.8613710513089665</v>
      </c>
      <c r="D36" s="44"/>
    </row>
    <row r="37" spans="2:4">
      <c r="B37" s="14" t="s">
        <v>23</v>
      </c>
      <c r="C37" s="43">
        <f>C12/'Financial Model'!Z4</f>
        <v>3.9059465775387716</v>
      </c>
      <c r="D37" s="44"/>
    </row>
    <row r="38" spans="2:4">
      <c r="B38" s="14" t="s">
        <v>24</v>
      </c>
      <c r="C38" s="43">
        <f>C6/'Financial Model'!Z17</f>
        <v>-13.448862648725685</v>
      </c>
      <c r="D38" s="44"/>
    </row>
    <row r="39" spans="2:4">
      <c r="B39" s="14" t="s">
        <v>25</v>
      </c>
      <c r="C39" s="43">
        <f>C12/'Financial Model'!Z16</f>
        <v>-13.60411582740068</v>
      </c>
      <c r="D39" s="44"/>
    </row>
    <row r="40" spans="2:4">
      <c r="B40" s="15" t="s">
        <v>26</v>
      </c>
      <c r="C40" s="45">
        <f>C6/'Financial Model'!Z65</f>
        <v>7.3674788576503545</v>
      </c>
      <c r="D40" s="46"/>
    </row>
  </sheetData>
  <mergeCells count="25">
    <mergeCell ref="U5:V5"/>
    <mergeCell ref="U16:V16"/>
    <mergeCell ref="C28:D28"/>
    <mergeCell ref="C30:D30"/>
    <mergeCell ref="C32:D32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38:D38"/>
    <mergeCell ref="C39:D39"/>
    <mergeCell ref="C40:D40"/>
    <mergeCell ref="G5:O5"/>
    <mergeCell ref="C29:D29"/>
    <mergeCell ref="B35:D35"/>
    <mergeCell ref="C36:D36"/>
    <mergeCell ref="C37:D37"/>
    <mergeCell ref="C19:D19"/>
  </mergeCells>
  <hyperlinks>
    <hyperlink ref="C32:D32" r:id="rId1" display="Link" xr:uid="{560A9EC9-9A89-472D-B1C1-EECB97317C0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798E-B00B-4C4B-AF56-92A629505A5C}">
  <dimension ref="B1:AH7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Z37" sqref="A37:XFD37"/>
    </sheetView>
  </sheetViews>
  <sheetFormatPr defaultRowHeight="12.75"/>
  <cols>
    <col min="1" max="1" width="4.28515625" style="18" customWidth="1"/>
    <col min="2" max="2" width="24" style="18" bestFit="1" customWidth="1"/>
    <col min="3" max="16384" width="9.140625" style="18"/>
  </cols>
  <sheetData>
    <row r="1" spans="2:34" s="20" customFormat="1">
      <c r="C1" s="20" t="s">
        <v>121</v>
      </c>
      <c r="D1" s="20" t="s">
        <v>120</v>
      </c>
      <c r="E1" s="20" t="s">
        <v>119</v>
      </c>
      <c r="F1" s="20" t="s">
        <v>115</v>
      </c>
      <c r="G1" s="20" t="s">
        <v>62</v>
      </c>
      <c r="H1" s="20" t="s">
        <v>61</v>
      </c>
      <c r="I1" s="20" t="s">
        <v>60</v>
      </c>
      <c r="J1" s="20" t="s">
        <v>59</v>
      </c>
      <c r="K1" s="20" t="s">
        <v>58</v>
      </c>
      <c r="L1" s="20" t="s">
        <v>57</v>
      </c>
      <c r="M1" s="20" t="s">
        <v>56</v>
      </c>
      <c r="N1" s="26" t="s">
        <v>55</v>
      </c>
      <c r="U1" s="20" t="s">
        <v>28</v>
      </c>
      <c r="V1" s="20" t="s">
        <v>29</v>
      </c>
      <c r="W1" s="20" t="s">
        <v>30</v>
      </c>
      <c r="X1" s="20" t="s">
        <v>31</v>
      </c>
      <c r="Y1" s="20" t="s">
        <v>32</v>
      </c>
      <c r="Z1" s="26" t="s">
        <v>33</v>
      </c>
      <c r="AA1" s="20" t="s">
        <v>34</v>
      </c>
      <c r="AB1" s="20" t="s">
        <v>35</v>
      </c>
      <c r="AC1" s="20" t="s">
        <v>36</v>
      </c>
      <c r="AD1" s="20" t="s">
        <v>37</v>
      </c>
      <c r="AE1" s="20" t="s">
        <v>38</v>
      </c>
      <c r="AF1" s="20" t="s">
        <v>39</v>
      </c>
      <c r="AG1" s="20" t="s">
        <v>40</v>
      </c>
      <c r="AH1" s="20" t="s">
        <v>41</v>
      </c>
    </row>
    <row r="2" spans="2:34" s="27" customFormat="1">
      <c r="B2" s="21"/>
      <c r="X2" s="28">
        <v>44561</v>
      </c>
      <c r="Y2" s="28">
        <v>44926</v>
      </c>
      <c r="Z2" s="28">
        <v>45291</v>
      </c>
    </row>
    <row r="3" spans="2:34" s="27" customFormat="1">
      <c r="B3" s="21"/>
    </row>
    <row r="4" spans="2:34" s="30" customFormat="1">
      <c r="B4" s="30" t="s">
        <v>63</v>
      </c>
      <c r="X4" s="30">
        <v>4117.0479999999998</v>
      </c>
      <c r="Y4" s="30">
        <v>4601.8469999999998</v>
      </c>
      <c r="Z4" s="30">
        <v>4606.1149999999998</v>
      </c>
    </row>
    <row r="5" spans="2:34">
      <c r="B5" s="18" t="s">
        <v>64</v>
      </c>
      <c r="X5" s="29">
        <v>1750.2449999999999</v>
      </c>
      <c r="Y5" s="29">
        <v>1815.3420000000001</v>
      </c>
      <c r="Z5" s="29">
        <v>2114.1170000000002</v>
      </c>
    </row>
    <row r="6" spans="2:34" s="31" customFormat="1">
      <c r="B6" s="31" t="s">
        <v>65</v>
      </c>
      <c r="X6" s="30">
        <f t="shared" ref="X6:Y6" si="0">X4-X5</f>
        <v>2366.8029999999999</v>
      </c>
      <c r="Y6" s="30">
        <f t="shared" si="0"/>
        <v>2786.5049999999997</v>
      </c>
      <c r="Z6" s="30">
        <f>Z4-Z5</f>
        <v>2491.9979999999996</v>
      </c>
    </row>
    <row r="7" spans="2:34">
      <c r="B7" s="18" t="s">
        <v>72</v>
      </c>
      <c r="X7" s="29">
        <v>1565.4670000000001</v>
      </c>
      <c r="Y7" s="29">
        <v>2109.8000000000002</v>
      </c>
      <c r="Z7" s="29">
        <v>1910.8620000000001</v>
      </c>
    </row>
    <row r="8" spans="2:34">
      <c r="B8" s="18" t="s">
        <v>73</v>
      </c>
      <c r="X8" s="29">
        <v>792.76400000000001</v>
      </c>
      <c r="Y8" s="29">
        <v>1118.7460000000001</v>
      </c>
      <c r="Z8" s="29">
        <v>1122.0920000000001</v>
      </c>
    </row>
    <row r="9" spans="2:34">
      <c r="B9" s="18" t="s">
        <v>74</v>
      </c>
      <c r="X9" s="29">
        <v>710.64</v>
      </c>
      <c r="Y9" s="29">
        <v>953.26499999999999</v>
      </c>
      <c r="Z9" s="29">
        <v>857.423</v>
      </c>
    </row>
    <row r="10" spans="2:34" s="31" customFormat="1">
      <c r="B10" s="31" t="s">
        <v>75</v>
      </c>
      <c r="X10" s="30">
        <f t="shared" ref="X10:Y10" si="1">X6-SUM(X7:X9)</f>
        <v>-702.06800000000021</v>
      </c>
      <c r="Y10" s="30">
        <f t="shared" si="1"/>
        <v>-1395.3060000000009</v>
      </c>
      <c r="Z10" s="30">
        <f>Z6-SUM(Z7:Z9)</f>
        <v>-1398.3790000000008</v>
      </c>
    </row>
    <row r="11" spans="2:34">
      <c r="B11" s="18" t="s">
        <v>76</v>
      </c>
      <c r="X11" s="29">
        <v>5.1989999999999998</v>
      </c>
      <c r="Y11" s="29">
        <v>58.597000000000001</v>
      </c>
      <c r="Z11" s="29">
        <v>168.39400000000001</v>
      </c>
    </row>
    <row r="12" spans="2:34">
      <c r="B12" s="18" t="s">
        <v>77</v>
      </c>
      <c r="X12" s="29">
        <v>17.675999999999998</v>
      </c>
      <c r="Y12" s="29">
        <v>21.459</v>
      </c>
      <c r="Z12" s="29">
        <v>22.024000000000001</v>
      </c>
    </row>
    <row r="13" spans="2:34">
      <c r="B13" s="18" t="s">
        <v>78</v>
      </c>
      <c r="X13" s="29">
        <v>240.17500000000001</v>
      </c>
      <c r="Y13" s="29">
        <v>-42.529000000000003</v>
      </c>
      <c r="Z13" s="29">
        <v>-42.414000000000001</v>
      </c>
    </row>
    <row r="14" spans="2:34">
      <c r="B14" s="18" t="s">
        <v>79</v>
      </c>
      <c r="X14" s="29">
        <f t="shared" ref="X14:Y14" si="2">X10+X11-X12+X13</f>
        <v>-474.37000000000029</v>
      </c>
      <c r="Y14" s="29">
        <f t="shared" si="2"/>
        <v>-1400.697000000001</v>
      </c>
      <c r="Z14" s="29">
        <f>Z10+Z11-Z12+Z13</f>
        <v>-1294.4230000000009</v>
      </c>
    </row>
    <row r="15" spans="2:34">
      <c r="B15" s="18" t="s">
        <v>80</v>
      </c>
      <c r="X15" s="18">
        <v>13.584</v>
      </c>
      <c r="Y15" s="29">
        <v>28.956</v>
      </c>
      <c r="Z15" s="29">
        <v>28.062000000000001</v>
      </c>
    </row>
    <row r="16" spans="2:34" s="31" customFormat="1">
      <c r="B16" s="31" t="s">
        <v>81</v>
      </c>
      <c r="X16" s="30">
        <f t="shared" ref="X16:Y16" si="3">X14-X15</f>
        <v>-487.95400000000029</v>
      </c>
      <c r="Y16" s="30">
        <f t="shared" si="3"/>
        <v>-1429.6530000000009</v>
      </c>
      <c r="Z16" s="30">
        <f>Z14-Z15</f>
        <v>-1322.4850000000008</v>
      </c>
    </row>
    <row r="17" spans="2:26">
      <c r="B17" s="18" t="s">
        <v>82</v>
      </c>
      <c r="X17" s="35">
        <f>X16/X18</f>
        <v>-0.31299226361564536</v>
      </c>
      <c r="Y17" s="35">
        <f>Y16/Y18</f>
        <v>-0.88891963210935299</v>
      </c>
      <c r="Z17" s="35">
        <f>Z16/Z18</f>
        <v>-0.8201437019691119</v>
      </c>
    </row>
    <row r="18" spans="2:26" s="29" customFormat="1">
      <c r="B18" s="29" t="s">
        <v>4</v>
      </c>
      <c r="X18" s="29">
        <v>1558.9970000000001</v>
      </c>
      <c r="Y18" s="29">
        <v>1608.3040000000001</v>
      </c>
      <c r="Z18" s="29">
        <v>1612.5039999999999</v>
      </c>
    </row>
    <row r="21" spans="2:26">
      <c r="B21" s="18" t="s">
        <v>68</v>
      </c>
      <c r="X21" s="32">
        <f t="shared" ref="X21:Y21" si="4">X6/X4</f>
        <v>0.57487865091687051</v>
      </c>
      <c r="Y21" s="32">
        <f t="shared" si="4"/>
        <v>0.60551882754902542</v>
      </c>
      <c r="Z21" s="32">
        <f>Z6/Z4</f>
        <v>0.54101949256586079</v>
      </c>
    </row>
    <row r="22" spans="2:26">
      <c r="B22" s="18" t="s">
        <v>69</v>
      </c>
      <c r="X22" s="32">
        <f t="shared" ref="X22:Y22" si="5">X10/X4</f>
        <v>-0.17052703781933082</v>
      </c>
      <c r="Y22" s="32">
        <f t="shared" si="5"/>
        <v>-0.30320564764539132</v>
      </c>
      <c r="Z22" s="32">
        <f>Z10/Z4</f>
        <v>-0.30359185560933694</v>
      </c>
    </row>
    <row r="23" spans="2:26">
      <c r="B23" s="18" t="s">
        <v>70</v>
      </c>
      <c r="X23" s="32">
        <f t="shared" ref="X23:Y23" si="6">X16/X4</f>
        <v>-0.11852035730455421</v>
      </c>
      <c r="Y23" s="32">
        <f t="shared" si="6"/>
        <v>-0.31066938992104715</v>
      </c>
      <c r="Z23" s="32">
        <f>Z16/Z4</f>
        <v>-0.28711506334514031</v>
      </c>
    </row>
    <row r="24" spans="2:26">
      <c r="B24" s="18" t="s">
        <v>71</v>
      </c>
      <c r="X24" s="32">
        <f t="shared" ref="X24:Y24" si="7">X15/X14</f>
        <v>-2.8635874949933578E-2</v>
      </c>
      <c r="Y24" s="32">
        <f t="shared" si="7"/>
        <v>-2.0672565158631723E-2</v>
      </c>
      <c r="Z24" s="32">
        <f>Z15/Z14</f>
        <v>-2.1679157431535118E-2</v>
      </c>
    </row>
    <row r="27" spans="2:26" s="33" customFormat="1">
      <c r="B27" s="33" t="s">
        <v>66</v>
      </c>
      <c r="Y27" s="33">
        <f>Y4/X4-1</f>
        <v>0.11775403152938702</v>
      </c>
      <c r="Z27" s="33">
        <f>Z4/Y4-1</f>
        <v>9.2745369413638201E-4</v>
      </c>
    </row>
    <row r="28" spans="2:26">
      <c r="B28" s="18" t="s">
        <v>67</v>
      </c>
      <c r="U28" s="19" t="s">
        <v>83</v>
      </c>
      <c r="V28" s="19" t="s">
        <v>83</v>
      </c>
      <c r="W28" s="19" t="s">
        <v>83</v>
      </c>
      <c r="X28" s="19" t="s">
        <v>83</v>
      </c>
      <c r="Y28" s="19" t="s">
        <v>83</v>
      </c>
      <c r="Z28" s="19" t="s">
        <v>83</v>
      </c>
    </row>
    <row r="32" spans="2:26">
      <c r="B32" s="36" t="s">
        <v>84</v>
      </c>
    </row>
    <row r="33" spans="2:26">
      <c r="B33" s="18" t="s">
        <v>19</v>
      </c>
      <c r="F33" s="18">
        <v>319</v>
      </c>
      <c r="G33" s="18">
        <v>332</v>
      </c>
      <c r="H33" s="18">
        <v>347</v>
      </c>
      <c r="I33" s="18">
        <v>363</v>
      </c>
      <c r="J33" s="18">
        <v>375</v>
      </c>
      <c r="K33" s="18">
        <v>383</v>
      </c>
      <c r="L33" s="18">
        <v>397</v>
      </c>
      <c r="M33" s="18">
        <v>406</v>
      </c>
      <c r="N33" s="18">
        <v>414</v>
      </c>
      <c r="Y33" s="18">
        <v>375</v>
      </c>
      <c r="Z33" s="18">
        <v>414</v>
      </c>
    </row>
    <row r="34" spans="2:26" s="62" customFormat="1">
      <c r="B34" s="61" t="s">
        <v>122</v>
      </c>
      <c r="G34" s="62">
        <f>G33/F33-1</f>
        <v>4.0752351097178785E-2</v>
      </c>
      <c r="H34" s="62">
        <f t="shared" ref="H34:N34" si="8">H33/G33-1</f>
        <v>4.5180722891566161E-2</v>
      </c>
      <c r="I34" s="62">
        <f t="shared" si="8"/>
        <v>4.6109510086455252E-2</v>
      </c>
      <c r="J34" s="62">
        <f t="shared" si="8"/>
        <v>3.3057851239669311E-2</v>
      </c>
      <c r="K34" s="62">
        <f t="shared" si="8"/>
        <v>2.1333333333333426E-2</v>
      </c>
      <c r="L34" s="62">
        <f t="shared" si="8"/>
        <v>3.6553524804177506E-2</v>
      </c>
      <c r="M34" s="62">
        <f t="shared" si="8"/>
        <v>2.267002518891692E-2</v>
      </c>
      <c r="N34" s="62">
        <f t="shared" si="8"/>
        <v>1.9704433497536922E-2</v>
      </c>
      <c r="Z34" s="62">
        <f>Z33/Y33-1</f>
        <v>0.10400000000000009</v>
      </c>
    </row>
    <row r="35" spans="2:26">
      <c r="B35" s="18" t="s">
        <v>114</v>
      </c>
      <c r="F35" s="18">
        <v>4.0599999999999996</v>
      </c>
      <c r="G35" s="18">
        <v>3.2</v>
      </c>
      <c r="H35" s="18">
        <v>3.2</v>
      </c>
      <c r="I35" s="18">
        <v>3.11</v>
      </c>
      <c r="J35" s="18">
        <v>3.47</v>
      </c>
      <c r="K35" s="18">
        <v>2.58</v>
      </c>
      <c r="L35" s="18">
        <v>2.69</v>
      </c>
      <c r="M35" s="18">
        <v>2.93</v>
      </c>
      <c r="N35" s="18">
        <v>3.29</v>
      </c>
      <c r="Y35" s="18">
        <v>3.47</v>
      </c>
      <c r="Z35" s="18">
        <v>3.29</v>
      </c>
    </row>
    <row r="36" spans="2:26">
      <c r="B36" s="61" t="s">
        <v>123</v>
      </c>
      <c r="G36" s="62">
        <f>G35/F35-1</f>
        <v>-0.21182266009852202</v>
      </c>
      <c r="H36" s="62">
        <f t="shared" ref="H36:N36" si="9">H35/G35-1</f>
        <v>0</v>
      </c>
      <c r="I36" s="62">
        <f t="shared" si="9"/>
        <v>-2.8125000000000067E-2</v>
      </c>
      <c r="J36" s="62">
        <f t="shared" si="9"/>
        <v>0.11575562700964648</v>
      </c>
      <c r="K36" s="62">
        <f t="shared" si="9"/>
        <v>-0.25648414985590784</v>
      </c>
      <c r="L36" s="62">
        <f t="shared" si="9"/>
        <v>4.2635658914728536E-2</v>
      </c>
      <c r="M36" s="62">
        <f t="shared" si="9"/>
        <v>8.9219330855018653E-2</v>
      </c>
      <c r="N36" s="62">
        <f t="shared" si="9"/>
        <v>0.12286689419795227</v>
      </c>
      <c r="Z36" s="62">
        <f>Z35/Y35-1</f>
        <v>-5.187319884726227E-2</v>
      </c>
    </row>
    <row r="37" spans="2:26" s="29" customFormat="1">
      <c r="B37" s="29" t="s">
        <v>124</v>
      </c>
      <c r="Z37" s="29">
        <v>5289</v>
      </c>
    </row>
    <row r="38" spans="2:26" s="32" customFormat="1">
      <c r="B38" s="32" t="s">
        <v>118</v>
      </c>
      <c r="X38" s="32">
        <f t="shared" ref="X38:Z38" si="10">X8/X4</f>
        <v>0.19255641420746128</v>
      </c>
      <c r="Y38" s="32">
        <f t="shared" si="10"/>
        <v>0.24310803901129269</v>
      </c>
      <c r="Z38" s="32">
        <f>Z8/Z4</f>
        <v>0.24360920211501452</v>
      </c>
    </row>
    <row r="40" spans="2:26">
      <c r="B40" s="36" t="s">
        <v>86</v>
      </c>
    </row>
    <row r="41" spans="2:26" s="31" customFormat="1">
      <c r="B41" s="31" t="s">
        <v>6</v>
      </c>
      <c r="Y41" s="30">
        <v>1423.1210000000001</v>
      </c>
      <c r="Z41" s="30">
        <v>1780.4</v>
      </c>
    </row>
    <row r="42" spans="2:26" s="31" customFormat="1">
      <c r="B42" s="31" t="s">
        <v>87</v>
      </c>
      <c r="Y42" s="30">
        <v>2516.0030000000002</v>
      </c>
      <c r="Z42" s="30">
        <v>1763.68</v>
      </c>
    </row>
    <row r="43" spans="2:26">
      <c r="B43" s="18" t="s">
        <v>88</v>
      </c>
      <c r="Y43" s="29">
        <v>1183.0920000000001</v>
      </c>
      <c r="Z43" s="29">
        <v>1278.1759999999999</v>
      </c>
    </row>
    <row r="44" spans="2:26">
      <c r="B44" s="18" t="s">
        <v>89</v>
      </c>
      <c r="Y44" s="29">
        <v>134.43100000000001</v>
      </c>
      <c r="Z44" s="29">
        <v>153.58699999999999</v>
      </c>
    </row>
    <row r="45" spans="2:26">
      <c r="B45" s="18" t="s">
        <v>90</v>
      </c>
      <c r="Y45" s="29">
        <f>SUM(Y41:Y44)</f>
        <v>5256.6469999999999</v>
      </c>
      <c r="Z45" s="29">
        <f>SUM(Z41:Z44)</f>
        <v>4975.8429999999989</v>
      </c>
    </row>
    <row r="46" spans="2:26">
      <c r="B46" s="18" t="s">
        <v>91</v>
      </c>
      <c r="Y46" s="29">
        <v>271.77699999999999</v>
      </c>
      <c r="Z46" s="29">
        <v>410.32600000000002</v>
      </c>
    </row>
    <row r="47" spans="2:26">
      <c r="B47" s="18" t="s">
        <v>92</v>
      </c>
      <c r="G47" s="18" t="s">
        <v>54</v>
      </c>
      <c r="Y47" s="29">
        <v>370.952</v>
      </c>
      <c r="Z47" s="29">
        <v>516.86199999999997</v>
      </c>
    </row>
    <row r="48" spans="2:26">
      <c r="B48" s="18" t="s">
        <v>93</v>
      </c>
      <c r="Y48" s="29">
        <f>204.48+1646.12</f>
        <v>1850.6</v>
      </c>
      <c r="Z48" s="29">
        <f>146.303+1691.827</f>
        <v>1838.13</v>
      </c>
    </row>
    <row r="49" spans="2:26">
      <c r="B49" s="18" t="s">
        <v>94</v>
      </c>
      <c r="Y49" s="29">
        <v>279.56200000000001</v>
      </c>
      <c r="Z49" s="29">
        <v>226.59700000000001</v>
      </c>
    </row>
    <row r="50" spans="2:26">
      <c r="B50" s="18" t="s">
        <v>95</v>
      </c>
      <c r="Y50" s="29">
        <f>SUM(Y45:Y49)</f>
        <v>8029.5380000000005</v>
      </c>
      <c r="Z50" s="29">
        <f>SUM(Z45:Z49)</f>
        <v>7967.7579999999989</v>
      </c>
    </row>
    <row r="51" spans="2:26">
      <c r="Z51" s="29"/>
    </row>
    <row r="52" spans="2:26">
      <c r="B52" s="18" t="s">
        <v>96</v>
      </c>
      <c r="Y52" s="29">
        <v>181.774</v>
      </c>
      <c r="Z52" s="29">
        <v>278.96100000000001</v>
      </c>
    </row>
    <row r="53" spans="2:26">
      <c r="B53" s="18" t="s">
        <v>97</v>
      </c>
      <c r="Y53" s="29">
        <v>46.484999999999999</v>
      </c>
      <c r="Z53" s="29">
        <v>49.320999999999998</v>
      </c>
    </row>
    <row r="54" spans="2:26">
      <c r="B54" s="18" t="s">
        <v>98</v>
      </c>
      <c r="Y54" s="29">
        <v>987.34</v>
      </c>
      <c r="Z54" s="29">
        <v>805.83600000000001</v>
      </c>
    </row>
    <row r="55" spans="2:26">
      <c r="B55" s="18" t="s">
        <v>99</v>
      </c>
      <c r="Y55" s="29">
        <f>SUM(Y52:Y54)</f>
        <v>1215.5990000000002</v>
      </c>
      <c r="Z55" s="29">
        <f>SUM(Z52:Z54)</f>
        <v>1134.1179999999999</v>
      </c>
    </row>
    <row r="56" spans="2:26" s="31" customFormat="1">
      <c r="B56" s="31" t="s">
        <v>100</v>
      </c>
      <c r="Y56" s="30">
        <v>3742.52</v>
      </c>
      <c r="Z56" s="30">
        <v>3749.4</v>
      </c>
    </row>
    <row r="57" spans="2:26">
      <c r="B57" s="18" t="s">
        <v>97</v>
      </c>
      <c r="Y57" s="29">
        <v>386.27100000000002</v>
      </c>
      <c r="Z57" s="29">
        <v>546.279</v>
      </c>
    </row>
    <row r="58" spans="2:26">
      <c r="B58" s="18" t="s">
        <v>101</v>
      </c>
      <c r="Y58" s="29">
        <v>104.45</v>
      </c>
      <c r="Z58" s="29">
        <v>123.849</v>
      </c>
    </row>
    <row r="59" spans="2:26">
      <c r="B59" s="18" t="s">
        <v>102</v>
      </c>
      <c r="Y59" s="29">
        <f>SUM(Y55:Y58)</f>
        <v>5448.84</v>
      </c>
      <c r="Z59" s="29">
        <f>SUM(Z55:Z58)</f>
        <v>5553.6460000000006</v>
      </c>
    </row>
    <row r="60" spans="2:26">
      <c r="Y60" s="29"/>
      <c r="Z60" s="29"/>
    </row>
    <row r="61" spans="2:26">
      <c r="B61" s="18" t="s">
        <v>103</v>
      </c>
      <c r="Y61" s="29">
        <v>2580.6979999999999</v>
      </c>
      <c r="Z61" s="29">
        <v>2414.1120000000001</v>
      </c>
    </row>
    <row r="62" spans="2:26">
      <c r="B62" s="18" t="s">
        <v>104</v>
      </c>
      <c r="Y62" s="29">
        <f>+Y61+Y59</f>
        <v>8029.5380000000005</v>
      </c>
      <c r="Z62" s="29">
        <f>+Z61+Z59</f>
        <v>7967.7580000000007</v>
      </c>
    </row>
    <row r="63" spans="2:26">
      <c r="Y63" s="29"/>
    </row>
    <row r="64" spans="2:26">
      <c r="B64" s="18" t="s">
        <v>105</v>
      </c>
      <c r="Y64" s="29">
        <f t="shared" ref="Y64:Z64" si="11">+Y50-Y59</f>
        <v>2580.6980000000003</v>
      </c>
      <c r="Z64" s="29">
        <f>+Z50-Z59</f>
        <v>2414.1119999999983</v>
      </c>
    </row>
    <row r="65" spans="2:26">
      <c r="B65" s="18" t="s">
        <v>106</v>
      </c>
      <c r="Y65" s="18">
        <f t="shared" ref="Y65" si="12">+Y64/Y18</f>
        <v>1.6046083327530121</v>
      </c>
      <c r="Z65" s="18">
        <f>+Z64/Z18</f>
        <v>1.4971200071441673</v>
      </c>
    </row>
    <row r="67" spans="2:26">
      <c r="B67" s="18" t="s">
        <v>6</v>
      </c>
      <c r="Y67" s="29">
        <f t="shared" ref="Y67:Z67" si="13">+Y41+Y42</f>
        <v>3939.1240000000003</v>
      </c>
      <c r="Z67" s="29">
        <f>+Z41+Z42</f>
        <v>3544.08</v>
      </c>
    </row>
    <row r="68" spans="2:26">
      <c r="B68" s="18" t="s">
        <v>7</v>
      </c>
      <c r="Y68" s="29">
        <f t="shared" ref="Y68:Z68" si="14">+Y56</f>
        <v>3742.52</v>
      </c>
      <c r="Z68" s="29">
        <f>+Z56</f>
        <v>3749.4</v>
      </c>
    </row>
    <row r="69" spans="2:26">
      <c r="B69" s="18" t="s">
        <v>8</v>
      </c>
      <c r="Y69" s="29">
        <f t="shared" ref="Y69" si="15">+Y67-Y68</f>
        <v>196.60400000000027</v>
      </c>
      <c r="Z69" s="29">
        <f>+Z67-Z68</f>
        <v>-205.32000000000016</v>
      </c>
    </row>
    <row r="71" spans="2:26">
      <c r="B71" s="18" t="s">
        <v>113</v>
      </c>
      <c r="Y71" s="18">
        <v>8.9499999999999993</v>
      </c>
      <c r="Z71" s="18">
        <v>16.93</v>
      </c>
    </row>
    <row r="72" spans="2:26">
      <c r="B72" s="18" t="s">
        <v>5</v>
      </c>
      <c r="Y72" s="29">
        <f>Y71*Y18</f>
        <v>14394.3208</v>
      </c>
      <c r="Z72" s="29">
        <f>Z71*Z18</f>
        <v>27299.692719999999</v>
      </c>
    </row>
    <row r="73" spans="2:26">
      <c r="B73" s="18" t="s">
        <v>9</v>
      </c>
      <c r="Y73" s="29">
        <f t="shared" ref="Y73" si="16">Y72-Y69</f>
        <v>14197.716799999998</v>
      </c>
      <c r="Z73" s="29">
        <f>Z72-Z69</f>
        <v>27505.012719999999</v>
      </c>
    </row>
    <row r="75" spans="2:26" s="37" customFormat="1">
      <c r="B75" s="37" t="s">
        <v>26</v>
      </c>
      <c r="Y75" s="37">
        <f t="shared" ref="Y75:Z75" si="17">Y71/Y65</f>
        <v>5.5776851068974356</v>
      </c>
      <c r="Z75" s="37">
        <f>Z71/Z65</f>
        <v>11.308378699911197</v>
      </c>
    </row>
    <row r="76" spans="2:26" s="37" customFormat="1">
      <c r="B76" s="37" t="s">
        <v>22</v>
      </c>
      <c r="Y76" s="37">
        <f t="shared" ref="Y76:Z76" si="18">Y72/Y4</f>
        <v>3.1279442363033798</v>
      </c>
      <c r="Z76" s="37">
        <f>Z72/Z4</f>
        <v>5.9268369808396013</v>
      </c>
    </row>
    <row r="77" spans="2:26" s="37" customFormat="1">
      <c r="B77" s="37" t="s">
        <v>23</v>
      </c>
      <c r="Y77" s="37">
        <f t="shared" ref="Y77:Z77" si="19">Y73/Y4</f>
        <v>3.0852213904547456</v>
      </c>
      <c r="Z77" s="37">
        <f>Z73/Z4</f>
        <v>5.9714125070694068</v>
      </c>
    </row>
    <row r="78" spans="2:26" s="37" customFormat="1">
      <c r="B78" s="37" t="s">
        <v>24</v>
      </c>
      <c r="Y78" s="37">
        <f t="shared" ref="Y78:Z78" si="20">Y71/Y17</f>
        <v>-10.068401773017641</v>
      </c>
      <c r="Z78" s="37">
        <f>Z71/Z17</f>
        <v>-20.642723902350486</v>
      </c>
    </row>
    <row r="79" spans="2:26" s="37" customFormat="1">
      <c r="B79" s="37" t="s">
        <v>25</v>
      </c>
      <c r="Y79" s="37">
        <f t="shared" ref="Y79:Z79" si="21">Y73/Y16</f>
        <v>-9.9308830884137542</v>
      </c>
      <c r="Z79" s="37">
        <f>Z73/Z16</f>
        <v>-20.797977081025479</v>
      </c>
    </row>
  </sheetData>
  <hyperlinks>
    <hyperlink ref="Z1" r:id="rId1" xr:uid="{03ABDAF1-0A1C-4C57-8665-4778AA30A240}"/>
    <hyperlink ref="N1" r:id="rId2" xr:uid="{27F96FC0-95EC-4504-B8C8-2CDABADD3C5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2024-03-05T11:47:01Z</dcterms:created>
  <dcterms:modified xsi:type="dcterms:W3CDTF">2024-03-05T22:48:42Z</dcterms:modified>
</cp:coreProperties>
</file>