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C54A9C6A-8C08-7747-ABA7-D33D73713413}" xr6:coauthVersionLast="47" xr6:coauthVersionMax="47" xr10:uidLastSave="{00000000-0000-0000-0000-000000000000}"/>
  <bookViews>
    <workbookView xWindow="0" yWindow="500" windowWidth="33600" windowHeight="18900" activeTab="1" xr2:uid="{309C4E68-998D-4D03-B9D9-E68F5F237DED}"/>
  </bookViews>
  <sheets>
    <sheet name="Main" sheetId="1" r:id="rId1"/>
    <sheet name="Financial Model" sheetId="2" r:id="rId2"/>
  </sheets>
  <definedNames>
    <definedName name="_xlchart.v1.0" hidden="1">'Financial Model'!$U$5:$AI$5</definedName>
    <definedName name="_xlchart.v2.1" hidden="1">'Financial Model'!$U$5:$AI$5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0" i="2" l="1"/>
  <c r="U33" i="2"/>
  <c r="U31" i="2"/>
  <c r="U30" i="2"/>
  <c r="U29" i="2"/>
  <c r="U28" i="2"/>
  <c r="V23" i="2"/>
  <c r="V22" i="2"/>
  <c r="V21" i="2"/>
  <c r="U18" i="2"/>
  <c r="U17" i="2"/>
  <c r="U15" i="2"/>
  <c r="U13" i="2"/>
  <c r="U12" i="2"/>
  <c r="U8" i="2"/>
  <c r="U9" i="2" s="1"/>
  <c r="U5" i="2"/>
  <c r="W18" i="2"/>
  <c r="W17" i="2"/>
  <c r="W30" i="2" s="1"/>
  <c r="W15" i="2"/>
  <c r="W31" i="2"/>
  <c r="V12" i="2"/>
  <c r="V13" i="2" s="1"/>
  <c r="V29" i="2" s="1"/>
  <c r="W12" i="2"/>
  <c r="W13" i="2" s="1"/>
  <c r="W29" i="2" s="1"/>
  <c r="W23" i="2"/>
  <c r="X23" i="2"/>
  <c r="W22" i="2"/>
  <c r="X22" i="2"/>
  <c r="W21" i="2"/>
  <c r="X21" i="2"/>
  <c r="W33" i="2"/>
  <c r="V33" i="2"/>
  <c r="W28" i="2"/>
  <c r="V28" i="2"/>
  <c r="W8" i="2"/>
  <c r="W9" i="2" s="1"/>
  <c r="V8" i="2"/>
  <c r="V9" i="2" s="1"/>
  <c r="W5" i="2"/>
  <c r="V5" i="2"/>
  <c r="AL27" i="2"/>
  <c r="V15" i="2" l="1"/>
  <c r="R19" i="2"/>
  <c r="R14" i="2"/>
  <c r="Y14" i="2" s="1"/>
  <c r="Y19" i="2"/>
  <c r="Y3" i="2"/>
  <c r="R4" i="2"/>
  <c r="R5" i="2" s="1"/>
  <c r="R3" i="2"/>
  <c r="C10" i="1"/>
  <c r="C7" i="1"/>
  <c r="Q94" i="2"/>
  <c r="Q95" i="2" s="1"/>
  <c r="Q89" i="2"/>
  <c r="Q91" i="2" s="1"/>
  <c r="Q71" i="2"/>
  <c r="Q78" i="2" s="1"/>
  <c r="Q81" i="2" s="1"/>
  <c r="Q58" i="2"/>
  <c r="Q55" i="2"/>
  <c r="Q64" i="2" s="1"/>
  <c r="Q83" i="2" s="1"/>
  <c r="Q84" i="2" s="1"/>
  <c r="Q12" i="2"/>
  <c r="Q8" i="2"/>
  <c r="Q23" i="2"/>
  <c r="Q22" i="2"/>
  <c r="Q26" i="2"/>
  <c r="Q25" i="2"/>
  <c r="Q5" i="2"/>
  <c r="Q33" i="2" s="1"/>
  <c r="V31" i="2" l="1"/>
  <c r="V17" i="2"/>
  <c r="AA14" i="2"/>
  <c r="C33" i="1"/>
  <c r="Q99" i="2"/>
  <c r="R8" i="2"/>
  <c r="R9" i="2" s="1"/>
  <c r="Y4" i="2"/>
  <c r="Y5" i="2" s="1"/>
  <c r="Q9" i="2"/>
  <c r="C9" i="1"/>
  <c r="P5" i="2"/>
  <c r="Q24" i="2" s="1"/>
  <c r="X19" i="2"/>
  <c r="X16" i="2"/>
  <c r="X14" i="2"/>
  <c r="Z14" i="2" s="1"/>
  <c r="X11" i="2"/>
  <c r="X10" i="2"/>
  <c r="X12" i="2" s="1"/>
  <c r="X7" i="2"/>
  <c r="X6" i="2"/>
  <c r="X4" i="2"/>
  <c r="X3" i="2"/>
  <c r="K94" i="2"/>
  <c r="K89" i="2"/>
  <c r="K91" i="2" s="1"/>
  <c r="K87" i="2"/>
  <c r="K71" i="2"/>
  <c r="K78" i="2" s="1"/>
  <c r="K81" i="2" s="1"/>
  <c r="K58" i="2"/>
  <c r="K55" i="2"/>
  <c r="O23" i="2"/>
  <c r="O22" i="2"/>
  <c r="L26" i="2"/>
  <c r="K26" i="2"/>
  <c r="L25" i="2"/>
  <c r="K25" i="2"/>
  <c r="K12" i="2"/>
  <c r="K8" i="2"/>
  <c r="K5" i="2"/>
  <c r="K33" i="2" s="1"/>
  <c r="J94" i="2"/>
  <c r="O94" i="2"/>
  <c r="N94" i="2"/>
  <c r="M94" i="2"/>
  <c r="L94" i="2"/>
  <c r="P94" i="2"/>
  <c r="N87" i="2"/>
  <c r="J89" i="2"/>
  <c r="J91" i="2" s="1"/>
  <c r="J95" i="2" s="1"/>
  <c r="J71" i="2"/>
  <c r="J78" i="2" s="1"/>
  <c r="J81" i="2" s="1"/>
  <c r="J58" i="2"/>
  <c r="J55" i="2"/>
  <c r="M26" i="2"/>
  <c r="M25" i="2"/>
  <c r="N26" i="2"/>
  <c r="N25" i="2"/>
  <c r="M12" i="2"/>
  <c r="M8" i="2"/>
  <c r="M5" i="2"/>
  <c r="O26" i="2"/>
  <c r="O25" i="2"/>
  <c r="N23" i="2"/>
  <c r="N22" i="2"/>
  <c r="J15" i="2"/>
  <c r="J31" i="2" s="1"/>
  <c r="J12" i="2"/>
  <c r="J8" i="2"/>
  <c r="J5" i="2"/>
  <c r="J33" i="2" s="1"/>
  <c r="N12" i="2"/>
  <c r="N8" i="2"/>
  <c r="N5" i="2"/>
  <c r="N33" i="2" s="1"/>
  <c r="N89" i="2"/>
  <c r="N91" i="2" s="1"/>
  <c r="N71" i="2"/>
  <c r="N78" i="2" s="1"/>
  <c r="N81" i="2" s="1"/>
  <c r="N58" i="2"/>
  <c r="N55" i="2"/>
  <c r="V30" i="2" l="1"/>
  <c r="V18" i="2"/>
  <c r="Z5" i="2"/>
  <c r="R10" i="2"/>
  <c r="R11" i="2"/>
  <c r="Y11" i="2" s="1"/>
  <c r="Y33" i="2" s="1"/>
  <c r="AB14" i="2"/>
  <c r="M33" i="2"/>
  <c r="Q21" i="2"/>
  <c r="Q13" i="2"/>
  <c r="Q28" i="2"/>
  <c r="AC14" i="2"/>
  <c r="X8" i="2"/>
  <c r="K24" i="2"/>
  <c r="J64" i="2"/>
  <c r="N64" i="2"/>
  <c r="N83" i="2" s="1"/>
  <c r="N84" i="2" s="1"/>
  <c r="N99" i="2" s="1"/>
  <c r="N95" i="2"/>
  <c r="X5" i="2"/>
  <c r="X33" i="2" s="1"/>
  <c r="K64" i="2"/>
  <c r="K83" i="2" s="1"/>
  <c r="K84" i="2" s="1"/>
  <c r="K99" i="2" s="1"/>
  <c r="K9" i="2"/>
  <c r="K95" i="2"/>
  <c r="J9" i="2"/>
  <c r="J28" i="2" s="1"/>
  <c r="J29" i="2"/>
  <c r="N24" i="2"/>
  <c r="J83" i="2"/>
  <c r="J84" i="2" s="1"/>
  <c r="J99" i="2" s="1"/>
  <c r="N9" i="2"/>
  <c r="N13" i="2" s="1"/>
  <c r="N29" i="2" s="1"/>
  <c r="J17" i="2"/>
  <c r="N21" i="2"/>
  <c r="M9" i="2"/>
  <c r="P89" i="2"/>
  <c r="Q29" i="2" l="1"/>
  <c r="Q15" i="2"/>
  <c r="Y10" i="2"/>
  <c r="Y12" i="2" s="1"/>
  <c r="R12" i="2"/>
  <c r="R13" i="2" s="1"/>
  <c r="Z8" i="2"/>
  <c r="Z9" i="2" s="1"/>
  <c r="AA5" i="2"/>
  <c r="Z11" i="2"/>
  <c r="Y21" i="2"/>
  <c r="AD14" i="2"/>
  <c r="X9" i="2"/>
  <c r="X28" i="2" s="1"/>
  <c r="N15" i="2"/>
  <c r="N31" i="2" s="1"/>
  <c r="K13" i="2"/>
  <c r="K28" i="2"/>
  <c r="M13" i="2"/>
  <c r="M28" i="2"/>
  <c r="J30" i="2"/>
  <c r="J18" i="2"/>
  <c r="N28" i="2"/>
  <c r="N17" i="2"/>
  <c r="P91" i="2"/>
  <c r="P95" i="2" s="1"/>
  <c r="P71" i="2"/>
  <c r="P78" i="2" s="1"/>
  <c r="P58" i="2"/>
  <c r="P55" i="2"/>
  <c r="L12" i="2"/>
  <c r="O12" i="2"/>
  <c r="P23" i="2"/>
  <c r="P22" i="2"/>
  <c r="P26" i="2"/>
  <c r="P25" i="2"/>
  <c r="P12" i="2"/>
  <c r="L8" i="2"/>
  <c r="L5" i="2"/>
  <c r="O5" i="2"/>
  <c r="O8" i="2"/>
  <c r="Y8" i="2" s="1"/>
  <c r="Y9" i="2" s="1"/>
  <c r="P8" i="2"/>
  <c r="P33" i="2"/>
  <c r="Y28" i="2" l="1"/>
  <c r="Y13" i="2"/>
  <c r="AB5" i="2"/>
  <c r="AA11" i="2"/>
  <c r="AA8" i="2"/>
  <c r="AA9" i="2" s="1"/>
  <c r="P97" i="2"/>
  <c r="Q97" i="2"/>
  <c r="O97" i="2"/>
  <c r="N97" i="2"/>
  <c r="M97" i="2"/>
  <c r="R16" i="2"/>
  <c r="Y16" i="2" s="1"/>
  <c r="R15" i="2"/>
  <c r="R29" i="2"/>
  <c r="AF14" i="2"/>
  <c r="Q31" i="2"/>
  <c r="Q17" i="2"/>
  <c r="Z12" i="2"/>
  <c r="Z13" i="2" s="1"/>
  <c r="AE14" i="2"/>
  <c r="X13" i="2"/>
  <c r="X15" i="2" s="1"/>
  <c r="P64" i="2"/>
  <c r="P83" i="2" s="1"/>
  <c r="P84" i="2" s="1"/>
  <c r="L24" i="2"/>
  <c r="L33" i="2"/>
  <c r="K15" i="2"/>
  <c r="K29" i="2"/>
  <c r="O33" i="2"/>
  <c r="O21" i="2"/>
  <c r="O24" i="2"/>
  <c r="L9" i="2"/>
  <c r="L28" i="2" s="1"/>
  <c r="M24" i="2"/>
  <c r="M29" i="2"/>
  <c r="M15" i="2"/>
  <c r="N18" i="2"/>
  <c r="N30" i="2"/>
  <c r="P81" i="2"/>
  <c r="P9" i="2"/>
  <c r="P24" i="2"/>
  <c r="P21" i="2"/>
  <c r="O9" i="2"/>
  <c r="O28" i="2" s="1"/>
  <c r="C8" i="1"/>
  <c r="C32" i="1" s="1"/>
  <c r="C11" i="1"/>
  <c r="AL24" i="2" s="1"/>
  <c r="R17" i="2" l="1"/>
  <c r="X29" i="2"/>
  <c r="Q30" i="2"/>
  <c r="Q18" i="2"/>
  <c r="AA10" i="2"/>
  <c r="AA12" i="2" s="1"/>
  <c r="AA13" i="2" s="1"/>
  <c r="R30" i="2"/>
  <c r="R18" i="2"/>
  <c r="AC5" i="2"/>
  <c r="AB8" i="2"/>
  <c r="AB9" i="2" s="1"/>
  <c r="AB10" i="2" s="1"/>
  <c r="AB11" i="2"/>
  <c r="AG14" i="2"/>
  <c r="A97" i="2"/>
  <c r="Y29" i="2"/>
  <c r="Y15" i="2"/>
  <c r="Y17" i="2" s="1"/>
  <c r="Z29" i="2"/>
  <c r="Z15" i="2"/>
  <c r="Z16" i="2" s="1"/>
  <c r="Z17" i="2" s="1"/>
  <c r="Z30" i="2" s="1"/>
  <c r="L13" i="2"/>
  <c r="X17" i="2"/>
  <c r="X31" i="2"/>
  <c r="K17" i="2"/>
  <c r="K31" i="2"/>
  <c r="P99" i="2"/>
  <c r="A99" i="2" s="1"/>
  <c r="M31" i="2"/>
  <c r="M17" i="2"/>
  <c r="P13" i="2"/>
  <c r="P28" i="2"/>
  <c r="L29" i="2"/>
  <c r="L15" i="2"/>
  <c r="O13" i="2"/>
  <c r="C12" i="1"/>
  <c r="AA29" i="2" l="1"/>
  <c r="AA15" i="2"/>
  <c r="AA16" i="2" s="1"/>
  <c r="AA17" i="2" s="1"/>
  <c r="AA30" i="2" s="1"/>
  <c r="Y18" i="2"/>
  <c r="Y30" i="2"/>
  <c r="AH14" i="2"/>
  <c r="AB12" i="2"/>
  <c r="AB13" i="2" s="1"/>
  <c r="AD5" i="2"/>
  <c r="AC8" i="2"/>
  <c r="AC9" i="2" s="1"/>
  <c r="AC10" i="2" s="1"/>
  <c r="AC11" i="2"/>
  <c r="K18" i="2"/>
  <c r="K30" i="2"/>
  <c r="X30" i="2"/>
  <c r="X18" i="2"/>
  <c r="M30" i="2"/>
  <c r="M18" i="2"/>
  <c r="P29" i="2"/>
  <c r="P15" i="2"/>
  <c r="O15" i="2"/>
  <c r="O29" i="2"/>
  <c r="L31" i="2"/>
  <c r="L17" i="2"/>
  <c r="AB29" i="2" l="1"/>
  <c r="AB15" i="2"/>
  <c r="AI14" i="2"/>
  <c r="AC12" i="2"/>
  <c r="AC13" i="2" s="1"/>
  <c r="AE5" i="2"/>
  <c r="AD8" i="2"/>
  <c r="AD9" i="2" s="1"/>
  <c r="AD10" i="2" s="1"/>
  <c r="AD11" i="2"/>
  <c r="P31" i="2"/>
  <c r="P17" i="2"/>
  <c r="L18" i="2"/>
  <c r="L30" i="2"/>
  <c r="O17" i="2"/>
  <c r="O31" i="2"/>
  <c r="AD12" i="2" l="1"/>
  <c r="AD13" i="2" s="1"/>
  <c r="AF5" i="2"/>
  <c r="AE8" i="2"/>
  <c r="AE9" i="2" s="1"/>
  <c r="AE10" i="2" s="1"/>
  <c r="AE11" i="2"/>
  <c r="AC29" i="2"/>
  <c r="AC15" i="2"/>
  <c r="AB16" i="2"/>
  <c r="AB17" i="2" s="1"/>
  <c r="P18" i="2"/>
  <c r="P30" i="2"/>
  <c r="O18" i="2"/>
  <c r="Q98" i="2" s="1"/>
  <c r="O30" i="2"/>
  <c r="AB30" i="2" l="1"/>
  <c r="AC16" i="2"/>
  <c r="AC17" i="2" s="1"/>
  <c r="AC30" i="2" s="1"/>
  <c r="AE12" i="2"/>
  <c r="AE13" i="2" s="1"/>
  <c r="P98" i="2"/>
  <c r="A98" i="2" s="1"/>
  <c r="AG5" i="2"/>
  <c r="AF11" i="2"/>
  <c r="AF8" i="2"/>
  <c r="AF9" i="2" s="1"/>
  <c r="AF10" i="2" s="1"/>
  <c r="AD29" i="2"/>
  <c r="AD15" i="2"/>
  <c r="AD16" i="2" s="1"/>
  <c r="AD17" i="2" s="1"/>
  <c r="AD30" i="2" s="1"/>
  <c r="AH5" i="2" l="1"/>
  <c r="AG11" i="2"/>
  <c r="AG8" i="2"/>
  <c r="AG9" i="2" s="1"/>
  <c r="AG10" i="2" s="1"/>
  <c r="AG12" i="2" s="1"/>
  <c r="AG13" i="2" s="1"/>
  <c r="AE29" i="2"/>
  <c r="AE15" i="2"/>
  <c r="AF12" i="2"/>
  <c r="AF13" i="2" s="1"/>
  <c r="AF29" i="2" l="1"/>
  <c r="AF15" i="2"/>
  <c r="AF16" i="2" s="1"/>
  <c r="AF17" i="2" s="1"/>
  <c r="AF30" i="2" s="1"/>
  <c r="AE16" i="2"/>
  <c r="AE17" i="2" s="1"/>
  <c r="AG29" i="2"/>
  <c r="AG15" i="2"/>
  <c r="AG16" i="2" s="1"/>
  <c r="AG17" i="2" s="1"/>
  <c r="AG30" i="2" s="1"/>
  <c r="AI5" i="2"/>
  <c r="AH8" i="2"/>
  <c r="AH9" i="2" s="1"/>
  <c r="AH10" i="2" s="1"/>
  <c r="AH12" i="2" s="1"/>
  <c r="AH13" i="2" s="1"/>
  <c r="AH11" i="2"/>
  <c r="AH29" i="2" l="1"/>
  <c r="AH15" i="2"/>
  <c r="AH16" i="2" s="1"/>
  <c r="AH17" i="2" s="1"/>
  <c r="AH30" i="2" s="1"/>
  <c r="AI8" i="2"/>
  <c r="AI9" i="2"/>
  <c r="AI10" i="2" s="1"/>
  <c r="AI11" i="2"/>
  <c r="AE30" i="2"/>
  <c r="AI12" i="2" l="1"/>
  <c r="AI13" i="2" s="1"/>
  <c r="AI29" i="2" l="1"/>
  <c r="AI15" i="2"/>
  <c r="AI16" i="2" s="1"/>
  <c r="AI17" i="2" s="1"/>
  <c r="AJ17" i="2" l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AI30" i="2"/>
  <c r="AL23" i="2" l="1"/>
  <c r="AL25" i="2" s="1"/>
  <c r="AL26" i="2" s="1"/>
  <c r="AL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Charlie George</author>
  </authors>
  <commentList>
    <comment ref="R10" authorId="0" shapeId="0" xr:uid="{9A0FE2EA-6A55-344F-AB2D-9AEDE8ED6DE2}">
      <text>
        <r>
          <rPr>
            <b/>
            <sz val="10"/>
            <color rgb="FF000000"/>
            <rFont val="Tahoma"/>
            <family val="2"/>
          </rPr>
          <t>Charlie George: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2-shot capacity</t>
        </r>
      </text>
    </comment>
    <comment ref="R11" authorId="0" shapeId="0" xr:uid="{9F2F9331-02AB-B740-ADDD-465C75626294}">
      <text>
        <r>
          <rPr>
            <b/>
            <sz val="10"/>
            <color rgb="FF000000"/>
            <rFont val="Tahoma"/>
            <family val="2"/>
          </rPr>
          <t>Charlie George: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shot capacity</t>
        </r>
      </text>
    </comment>
    <comment ref="R12" authorId="0" shapeId="0" xr:uid="{4173C28B-52C2-D94A-B06D-E4D8B9FB8780}">
      <text>
        <r>
          <rPr>
            <b/>
            <sz val="10"/>
            <color rgb="FF000000"/>
            <rFont val="Tahoma"/>
            <family val="2"/>
          </rPr>
          <t>Charlie George: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 shot capacity</t>
        </r>
      </text>
    </comment>
  </commentList>
</comments>
</file>

<file path=xl/sharedStrings.xml><?xml version="1.0" encoding="utf-8"?>
<sst xmlns="http://schemas.openxmlformats.org/spreadsheetml/2006/main" count="245" uniqueCount="176">
  <si>
    <t>$AXON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</si>
  <si>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</si>
  <si>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</si>
  <si>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</si>
  <si>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</si>
  <si>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</si>
  <si>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</si>
  <si>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</si>
  <si>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</si>
  <si>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</si>
  <si>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</si>
  <si>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</si>
  <si>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</si>
  <si>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</si>
  <si>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</si>
  <si>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</si>
  <si>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Products</t>
  </si>
  <si>
    <t>Customers</t>
  </si>
  <si>
    <t>Key Events</t>
  </si>
  <si>
    <t>Update</t>
  </si>
  <si>
    <t>IR</t>
  </si>
  <si>
    <t>Ratios</t>
  </si>
  <si>
    <t>P/S</t>
  </si>
  <si>
    <t>P/B</t>
  </si>
  <si>
    <t>P/E</t>
  </si>
  <si>
    <t>Patrick Smith</t>
  </si>
  <si>
    <t>CoFound</t>
  </si>
  <si>
    <t>Pres</t>
  </si>
  <si>
    <t>Luke Larson</t>
  </si>
  <si>
    <t>Joshua Isner</t>
  </si>
  <si>
    <t>Jim Zito</t>
  </si>
  <si>
    <t>Interim</t>
  </si>
  <si>
    <t>Axon Enterprise Inc.</t>
  </si>
  <si>
    <t>Phoenix, AZ</t>
  </si>
  <si>
    <t xml:space="preserve">Renamed from TASER International Inc. to Axon Enterprise Inc. </t>
  </si>
  <si>
    <t>TASER</t>
  </si>
  <si>
    <t>TASER 7</t>
  </si>
  <si>
    <t>TASER X26P</t>
  </si>
  <si>
    <t>TASER X2</t>
  </si>
  <si>
    <t>TASER Consumer</t>
  </si>
  <si>
    <t>Cameras</t>
  </si>
  <si>
    <t>Bodycam</t>
  </si>
  <si>
    <t>Dashcam</t>
  </si>
  <si>
    <t>Software</t>
  </si>
  <si>
    <t>In-car Police Systems</t>
  </si>
  <si>
    <t>Axon Evidence digital evidence</t>
  </si>
  <si>
    <t>Cloud &amp; AI</t>
  </si>
  <si>
    <t>Axon Respond</t>
  </si>
  <si>
    <t>Fusus Real Time Crime Center</t>
  </si>
  <si>
    <t>Other</t>
  </si>
  <si>
    <t>Warranties, Axon Docks, cartridges</t>
  </si>
  <si>
    <t>Batteries &amp; More</t>
  </si>
  <si>
    <t>Two Segments</t>
  </si>
  <si>
    <t>Software &amp; Sensors</t>
  </si>
  <si>
    <t>Q421</t>
  </si>
  <si>
    <t>Q122</t>
  </si>
  <si>
    <t>Q222</t>
  </si>
  <si>
    <t>Q322</t>
  </si>
  <si>
    <t>(Projected)</t>
  </si>
  <si>
    <t>Q420</t>
  </si>
  <si>
    <t>Q121</t>
  </si>
  <si>
    <t>Q221</t>
  </si>
  <si>
    <t>Q321</t>
  </si>
  <si>
    <t>Q120</t>
  </si>
  <si>
    <t>Q220</t>
  </si>
  <si>
    <t>Q320</t>
  </si>
  <si>
    <t>Services</t>
  </si>
  <si>
    <t>Products COGS</t>
  </si>
  <si>
    <t>Services COGS</t>
  </si>
  <si>
    <t>Gross Profit</t>
  </si>
  <si>
    <t>SG&amp;A</t>
  </si>
  <si>
    <t>R&amp;D</t>
  </si>
  <si>
    <t>Operating Expenses</t>
  </si>
  <si>
    <t>Operating Income</t>
  </si>
  <si>
    <t>Interest/Other Income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</si>
  <si>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</si>
  <si>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</si>
  <si>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</si>
  <si>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</si>
  <si>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</si>
  <si>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</si>
  <si>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</si>
  <si>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</si>
  <si>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</si>
  <si>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Taxes %</t>
  </si>
  <si>
    <t>FY19</t>
  </si>
  <si>
    <t>FY20</t>
  </si>
  <si>
    <t>FY21</t>
  </si>
  <si>
    <t>FY22</t>
  </si>
  <si>
    <t>FY18</t>
  </si>
  <si>
    <t>Products Q/Q</t>
  </si>
  <si>
    <t>Services Q/Q</t>
  </si>
  <si>
    <t>Products Y/Y</t>
  </si>
  <si>
    <t>Services Y/Y</t>
  </si>
  <si>
    <t>Balance Sheet</t>
  </si>
  <si>
    <t>Total COGS</t>
  </si>
  <si>
    <t>Total Revenue</t>
  </si>
  <si>
    <t>Q422</t>
  </si>
  <si>
    <t>Cartridges</t>
  </si>
  <si>
    <t>Axon Body</t>
  </si>
  <si>
    <t>Axon Flex</t>
  </si>
  <si>
    <t>Axon Fleet</t>
  </si>
  <si>
    <t>Axon Dock</t>
  </si>
  <si>
    <t>(USD Thousands)</t>
  </si>
  <si>
    <t>Marketable Securities</t>
  </si>
  <si>
    <t>Short-Term Investments</t>
  </si>
  <si>
    <t>Accounts &amp; A/R</t>
  </si>
  <si>
    <t>Contract Assets</t>
  </si>
  <si>
    <t>Inventory</t>
  </si>
  <si>
    <t>Prepaid Expenses &amp; OCA</t>
  </si>
  <si>
    <t>TCA</t>
  </si>
  <si>
    <t>PP&amp;E</t>
  </si>
  <si>
    <t>Deferred Taxes</t>
  </si>
  <si>
    <t>Intangibles+Goodwill</t>
  </si>
  <si>
    <t>Long-Term Investments</t>
  </si>
  <si>
    <t>Long-Term Notes Receivable</t>
  </si>
  <si>
    <t>Long-Term Contract Assets</t>
  </si>
  <si>
    <t>Strategic Investments</t>
  </si>
  <si>
    <t>OLTA</t>
  </si>
  <si>
    <t>Assets</t>
  </si>
  <si>
    <t>A/P</t>
  </si>
  <si>
    <t>Accrued Liabilities</t>
  </si>
  <si>
    <t>Customer Deposits</t>
  </si>
  <si>
    <t>OCL</t>
  </si>
  <si>
    <t>TCL</t>
  </si>
  <si>
    <t>Deferred Revenue</t>
  </si>
  <si>
    <t>LT Deferred Revenue</t>
  </si>
  <si>
    <t>Tax Benefit Liability</t>
  </si>
  <si>
    <t>LT Lease Liabilities</t>
  </si>
  <si>
    <t>Other LT Liabilities</t>
  </si>
  <si>
    <t>Liabilities</t>
  </si>
  <si>
    <t>S/E</t>
  </si>
  <si>
    <t>S/E+L</t>
  </si>
  <si>
    <t>Book Value</t>
  </si>
  <si>
    <t>Book Value per Share</t>
  </si>
  <si>
    <t>Inventory Q/Q</t>
  </si>
  <si>
    <t>Inventory Y/Y</t>
  </si>
  <si>
    <t>LT Deferred Compensation</t>
  </si>
  <si>
    <t>Share Price</t>
  </si>
  <si>
    <t>Market Cap</t>
  </si>
  <si>
    <t>LT Deferred Tax</t>
  </si>
  <si>
    <t>Axon acquired competitor VieVu for $4.6m in cash &amp; $2.5m in common stock</t>
  </si>
  <si>
    <t>Taser Pulse, Pulse+, Taser Strikelight</t>
  </si>
  <si>
    <t>Evidence.com</t>
  </si>
  <si>
    <t>Evidence Sync</t>
  </si>
  <si>
    <t>Axon Mobile Apps</t>
  </si>
  <si>
    <t>Axon Signal</t>
  </si>
  <si>
    <t>Axon Citizen</t>
  </si>
  <si>
    <t>Software Solutions</t>
  </si>
  <si>
    <t>Axon proposed a plan for taser-armed drones to patrol schools, ethics board disagreed &amp; 9 resigned</t>
  </si>
  <si>
    <t>R&amp;D/Revenue</t>
  </si>
  <si>
    <t>-</t>
  </si>
  <si>
    <t>Q119</t>
  </si>
  <si>
    <t>Q219</t>
  </si>
  <si>
    <t>Q319</t>
  </si>
  <si>
    <t>Q419</t>
  </si>
  <si>
    <t>US Secret Service</t>
  </si>
  <si>
    <t>US Federal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</si>
  <si>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</si>
  <si>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</si>
  <si>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</si>
  <si>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</si>
  <si>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</si>
  <si>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</si>
  <si>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</si>
  <si>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</si>
  <si>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</si>
  <si>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</si>
  <si>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Maturity Rate</t>
  </si>
  <si>
    <t>Discount Rate</t>
  </si>
  <si>
    <t>NPV</t>
  </si>
  <si>
    <t>Total Value</t>
  </si>
  <si>
    <t>Per Share</t>
  </si>
  <si>
    <t>Current S/P</t>
  </si>
  <si>
    <t>Upside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</si>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</sst>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8"/>
      <color theme="1" tint="0.499984740745262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theme="4"/>
      <name val="Arial"/>
      <family val="2"/>
    </font>
    <font>
      <b/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5" borderId="4" xfId="0" applyFont="1" applyFill="1" applyBorder="1"/>
    <xf numFmtId="0" fontId="1" fillId="5" borderId="0" xfId="0" applyFont="1" applyFill="1" applyBorder="1"/>
    <xf numFmtId="0" fontId="1" fillId="5" borderId="5" xfId="0" applyFont="1" applyFill="1" applyBorder="1"/>
    <xf numFmtId="0" fontId="1" fillId="5" borderId="4" xfId="0" applyFont="1" applyFill="1" applyBorder="1" applyAlignment="1">
      <alignment horizontal="left" indent="1"/>
    </xf>
    <xf numFmtId="0" fontId="2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/>
    <xf numFmtId="0" fontId="1" fillId="4" borderId="6" xfId="0" applyFont="1" applyFill="1" applyBorder="1" applyAlignment="1">
      <alignment horizontal="left" indent="1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 indent="1"/>
    </xf>
    <xf numFmtId="14" fontId="5" fillId="0" borderId="0" xfId="0" applyNumberFormat="1" applyFont="1" applyAlignment="1">
      <alignment horizontal="right"/>
    </xf>
    <xf numFmtId="164" fontId="4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4" fontId="1" fillId="0" borderId="0" xfId="0" applyNumberFormat="1" applyFont="1"/>
    <xf numFmtId="9" fontId="4" fillId="0" borderId="0" xfId="0" applyNumberFormat="1" applyFont="1"/>
    <xf numFmtId="0" fontId="10" fillId="0" borderId="0" xfId="0" applyFont="1"/>
    <xf numFmtId="0" fontId="9" fillId="6" borderId="0" xfId="0" applyFont="1" applyFill="1" applyAlignment="1">
      <alignment horizontal="right"/>
    </xf>
    <xf numFmtId="164" fontId="4" fillId="6" borderId="0" xfId="0" applyNumberFormat="1" applyFont="1" applyFill="1"/>
    <xf numFmtId="0" fontId="4" fillId="6" borderId="0" xfId="0" applyFont="1" applyFill="1"/>
    <xf numFmtId="0" fontId="8" fillId="0" borderId="0" xfId="1" applyFont="1" applyAlignment="1">
      <alignment horizontal="right"/>
    </xf>
    <xf numFmtId="0" fontId="11" fillId="0" borderId="0" xfId="0" applyFont="1"/>
    <xf numFmtId="165" fontId="2" fillId="0" borderId="0" xfId="0" applyNumberFormat="1" applyFont="1"/>
    <xf numFmtId="165" fontId="1" fillId="0" borderId="0" xfId="0" applyNumberFormat="1" applyFont="1"/>
    <xf numFmtId="0" fontId="1" fillId="4" borderId="6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left" indent="3"/>
    </xf>
    <xf numFmtId="166" fontId="1" fillId="0" borderId="0" xfId="0" applyNumberFormat="1" applyFont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6" fontId="14" fillId="0" borderId="0" xfId="0" applyNumberFormat="1" applyFont="1"/>
    <xf numFmtId="9" fontId="4" fillId="6" borderId="0" xfId="0" applyNumberFormat="1" applyFont="1" applyFill="1"/>
    <xf numFmtId="0" fontId="8" fillId="0" borderId="0" xfId="1" applyFont="1" applyFill="1" applyAlignment="1">
      <alignment horizontal="right"/>
    </xf>
    <xf numFmtId="164" fontId="4" fillId="0" borderId="0" xfId="0" applyNumberFormat="1" applyFont="1" applyFill="1"/>
    <xf numFmtId="164" fontId="2" fillId="0" borderId="0" xfId="0" applyNumberFormat="1" applyFont="1" applyFill="1"/>
    <xf numFmtId="164" fontId="1" fillId="0" borderId="0" xfId="0" applyNumberFormat="1" applyFont="1" applyFill="1"/>
    <xf numFmtId="0" fontId="1" fillId="0" borderId="0" xfId="0" applyFont="1" applyFill="1"/>
    <xf numFmtId="0" fontId="2" fillId="0" borderId="0" xfId="0" applyFont="1" applyFill="1"/>
    <xf numFmtId="14" fontId="9" fillId="0" borderId="0" xfId="0" applyNumberFormat="1" applyFont="1" applyFill="1" applyAlignment="1">
      <alignment horizontal="right"/>
    </xf>
    <xf numFmtId="4" fontId="1" fillId="0" borderId="0" xfId="0" applyNumberFormat="1" applyFont="1" applyFill="1"/>
    <xf numFmtId="0" fontId="15" fillId="6" borderId="0" xfId="0" applyFont="1" applyFill="1" applyAlignment="1">
      <alignment horizontal="right"/>
    </xf>
    <xf numFmtId="0" fontId="15" fillId="6" borderId="0" xfId="0" applyFont="1" applyFill="1"/>
    <xf numFmtId="4" fontId="4" fillId="6" borderId="0" xfId="0" applyNumberFormat="1" applyFont="1" applyFill="1"/>
    <xf numFmtId="166" fontId="4" fillId="6" borderId="0" xfId="0" applyNumberFormat="1" applyFont="1" applyFill="1"/>
    <xf numFmtId="164" fontId="15" fillId="6" borderId="0" xfId="0" applyNumberFormat="1" applyFont="1" applyFill="1"/>
    <xf numFmtId="9" fontId="15" fillId="6" borderId="0" xfId="0" applyNumberFormat="1" applyFont="1" applyFill="1"/>
    <xf numFmtId="2" fontId="4" fillId="6" borderId="0" xfId="0" applyNumberFormat="1" applyFont="1" applyFill="1"/>
    <xf numFmtId="0" fontId="1" fillId="6" borderId="0" xfId="0" applyFont="1" applyFill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8" fillId="4" borderId="7" xfId="1" applyFont="1" applyFill="1" applyBorder="1" applyAlignment="1">
      <alignment horizontal="center"/>
    </xf>
    <xf numFmtId="0" fontId="8" fillId="4" borderId="8" xfId="1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2" borderId="1" xfId="0" applyFont="1" applyFill="1" applyBorder="1"/>
    <xf numFmtId="9" fontId="1" fillId="0" borderId="3" xfId="0" applyNumberFormat="1" applyFont="1" applyBorder="1"/>
    <xf numFmtId="0" fontId="1" fillId="2" borderId="4" xfId="0" applyFont="1" applyFill="1" applyBorder="1"/>
    <xf numFmtId="9" fontId="4" fillId="0" borderId="5" xfId="0" applyNumberFormat="1" applyFont="1" applyBorder="1"/>
    <xf numFmtId="164" fontId="2" fillId="0" borderId="5" xfId="0" applyNumberFormat="1" applyFont="1" applyBorder="1"/>
    <xf numFmtId="164" fontId="1" fillId="0" borderId="5" xfId="0" applyNumberFormat="1" applyFont="1" applyBorder="1"/>
    <xf numFmtId="0" fontId="2" fillId="2" borderId="4" xfId="0" applyFont="1" applyFill="1" applyBorder="1"/>
    <xf numFmtId="164" fontId="15" fillId="0" borderId="5" xfId="0" applyNumberFormat="1" applyFont="1" applyBorder="1"/>
    <xf numFmtId="0" fontId="1" fillId="2" borderId="6" xfId="0" applyFont="1" applyFill="1" applyBorder="1"/>
    <xf numFmtId="9" fontId="1" fillId="0" borderId="8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438149</xdr:colOff>
      <xdr:row>1</xdr:row>
      <xdr:rowOff>38101</xdr:rowOff>
    </xdr:from>
    <xdr:to>
      <xdr:col>6</xdr:col>
      <xdr:colOff>110206</xdr:colOff>
      <xdr:row>2</xdr:row>
      <xdr:rowOff>142875</xdr:rowOff>
    </xdr:to>
    <xdr:pic>
      <xdr:nvPicPr>
        <xdr:cNvPr id="4" name="Picture 3" descr="Axon | IACLEA New Production">
          <a:extLst>
            <a:ext uri="{FF2B5EF4-FFF2-40B4-BE49-F238E27FC236}">
              <a16:creationId xmlns:a16="http://schemas.microsoft.com/office/drawing/2014/main" id="{B90A61EF-577D-4F47-A7EE-5E0A53CA8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49" y="200026"/>
          <a:ext cx="1500857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0</xdr:row>
      <xdr:rowOff>9525</xdr:rowOff>
    </xdr:from>
    <xdr:to>
      <xdr:col>17</xdr:col>
      <xdr:colOff>19050</xdr:colOff>
      <xdr:row>106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323AC72-D4CB-4BF2-972A-3640BD79F7E1}"/>
            </a:ext>
          </a:extLst>
        </xdr:cNvPr>
        <xdr:cNvCxnSpPr/>
      </xdr:nvCxnSpPr>
      <xdr:spPr>
        <a:xfrm>
          <a:off x="11191875" y="9525"/>
          <a:ext cx="0" cy="17164050"/>
        </a:xfrm>
        <a:prstGeom prst="lin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0</xdr:row>
      <xdr:rowOff>0</xdr:rowOff>
    </xdr:from>
    <xdr:to>
      <xdr:col>24</xdr:col>
      <xdr:colOff>19050</xdr:colOff>
      <xdr:row>92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B8D65F2-7C88-4EC4-8681-09F28E27575C}"/>
            </a:ext>
          </a:extLst>
        </xdr:cNvPr>
        <xdr:cNvCxnSpPr/>
      </xdr:nvCxnSpPr>
      <xdr:spPr>
        <a:xfrm>
          <a:off x="12639675" y="0"/>
          <a:ext cx="0" cy="14325600"/>
        </a:xfrm>
        <a:prstGeom prst="lin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.axon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filecache.investorroom.com/mr5ir_axon/131/AXON_Q1_2021_ShareholderLetter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filecache.investorroom.com/mr5ir_axon/273/AXON-Q4-2021-ShareholderLetter.pdf" TargetMode="External"/><Relationship Id="rId1" Type="http://schemas.openxmlformats.org/officeDocument/2006/relationships/hyperlink" Target="https://filecache.investorroom.com/mr5ir_axon/331/AXON_Q2_2022_ShareholderLetter.pdf" TargetMode="External"/><Relationship Id="rId6" Type="http://schemas.openxmlformats.org/officeDocument/2006/relationships/hyperlink" Target="https://filecache.investorroom.com/mr5ir_axon/141/AXON-2020-Annual-Report.pdf" TargetMode="External"/><Relationship Id="rId5" Type="http://schemas.openxmlformats.org/officeDocument/2006/relationships/hyperlink" Target="https://filecache.investorroom.com/mr5ir_axon/349/AXON_Q3_2022_ShareholderLetter.pdf" TargetMode="External"/><Relationship Id="rId4" Type="http://schemas.openxmlformats.org/officeDocument/2006/relationships/hyperlink" Target="https://filecache.investorroom.com/mr5ir_axon/273/AXON-Q4-2021-ShareholderLette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F94E-F891-4352-9E7E-03CAB35A1375}">
  <dimension ref="A2:AA37"/>
  <sheetViews>
    <sheetView workbookViewId="0">
      <selection activeCell="C28" sqref="C28:D28"/>
    </sheetView>
  </sheetViews>
  <sheetFormatPr baseColWidth="10" defaultColWidth="9.1640625" defaultRowHeight="13" x14ac:dyDescent="0.15"/>
  <cols>
    <col min="1" max="16384" width="9.1640625" style="1"/>
  </cols>
  <sheetData>
    <row r="2" spans="1:27" ht="15" x14ac:dyDescent="0.2">
      <c r="B2" s="3" t="s">
        <v>0</v>
      </c>
      <c r="F2"/>
    </row>
    <row r="3" spans="1:27" x14ac:dyDescent="0.15">
      <c r="B3" s="2" t="s">
        <v>32</v>
      </c>
    </row>
    <row r="5" spans="1:27" x14ac:dyDescent="0.15">
      <c r="B5" s="77" t="s">
        <v>1</v>
      </c>
      <c r="C5" s="78"/>
      <c r="D5" s="79"/>
      <c r="G5" s="77" t="s">
        <v>18</v>
      </c>
      <c r="H5" s="78"/>
      <c r="I5" s="78"/>
      <c r="J5" s="78"/>
      <c r="K5" s="78"/>
      <c r="L5" s="78"/>
      <c r="M5" s="78"/>
      <c r="N5" s="78"/>
      <c r="O5" s="78"/>
      <c r="P5" s="79"/>
      <c r="R5" s="77" t="s">
        <v>16</v>
      </c>
      <c r="S5" s="78"/>
      <c r="T5" s="78"/>
      <c r="U5" s="79"/>
      <c r="X5" s="77" t="s">
        <v>17</v>
      </c>
      <c r="Y5" s="78"/>
      <c r="Z5" s="78"/>
      <c r="AA5" s="79"/>
    </row>
    <row r="6" spans="1:27" x14ac:dyDescent="0.15">
      <c r="B6" s="4" t="s">
        <v>2</v>
      </c>
      <c r="C6" s="20">
        <v>188.83</v>
      </c>
      <c r="D6" s="6"/>
      <c r="G6" s="18"/>
      <c r="H6" s="8"/>
      <c r="I6" s="8"/>
      <c r="J6" s="8"/>
      <c r="K6" s="8"/>
      <c r="L6" s="8"/>
      <c r="M6" s="8"/>
      <c r="N6" s="8"/>
      <c r="O6" s="8"/>
      <c r="P6" s="9"/>
      <c r="R6" s="24" t="s">
        <v>52</v>
      </c>
      <c r="S6" s="25"/>
      <c r="T6" s="25"/>
      <c r="U6" s="26"/>
      <c r="X6" s="28" t="s">
        <v>157</v>
      </c>
      <c r="Y6" s="12"/>
      <c r="Z6" s="12"/>
      <c r="AA6" s="13"/>
    </row>
    <row r="7" spans="1:27" x14ac:dyDescent="0.15">
      <c r="B7" s="4" t="s">
        <v>3</v>
      </c>
      <c r="C7" s="20">
        <f>'Financial Model'!Q19</f>
        <v>71.106999999999999</v>
      </c>
      <c r="D7" s="6" t="s">
        <v>56</v>
      </c>
      <c r="G7" s="18"/>
      <c r="H7" s="8"/>
      <c r="I7" s="8"/>
      <c r="J7" s="8"/>
      <c r="K7" s="8"/>
      <c r="L7" s="8"/>
      <c r="M7" s="8"/>
      <c r="N7" s="8"/>
      <c r="O7" s="8"/>
      <c r="P7" s="9"/>
      <c r="R7" s="27" t="s">
        <v>35</v>
      </c>
      <c r="S7" s="25"/>
      <c r="T7" s="25"/>
      <c r="U7" s="26"/>
      <c r="X7" s="30" t="s">
        <v>156</v>
      </c>
      <c r="Y7" s="12"/>
      <c r="Z7" s="12"/>
      <c r="AA7" s="13"/>
    </row>
    <row r="8" spans="1:27" x14ac:dyDescent="0.15">
      <c r="B8" s="4" t="s">
        <v>4</v>
      </c>
      <c r="C8" s="20">
        <f>C6*C7</f>
        <v>13427.134810000001</v>
      </c>
      <c r="D8" s="6"/>
      <c r="G8" s="18"/>
      <c r="H8" s="8"/>
      <c r="I8" s="8"/>
      <c r="J8" s="8"/>
      <c r="K8" s="8"/>
      <c r="L8" s="8"/>
      <c r="M8" s="8"/>
      <c r="N8" s="8"/>
      <c r="O8" s="8"/>
      <c r="P8" s="9"/>
      <c r="R8" s="27" t="s">
        <v>53</v>
      </c>
      <c r="S8" s="25"/>
      <c r="T8" s="25"/>
      <c r="U8" s="26"/>
      <c r="X8" s="30"/>
      <c r="Y8" s="12"/>
      <c r="Z8" s="12"/>
      <c r="AA8" s="13"/>
    </row>
    <row r="9" spans="1:27" x14ac:dyDescent="0.15">
      <c r="B9" s="4" t="s">
        <v>5</v>
      </c>
      <c r="C9" s="20">
        <f>'Financial Model'!Q89</f>
        <v>377.61800000000005</v>
      </c>
      <c r="D9" s="6" t="s">
        <v>56</v>
      </c>
      <c r="G9" s="18"/>
      <c r="H9" s="8"/>
      <c r="I9" s="8"/>
      <c r="J9" s="8"/>
      <c r="K9" s="8"/>
      <c r="L9" s="8"/>
      <c r="M9" s="8"/>
      <c r="N9" s="8"/>
      <c r="O9" s="8"/>
      <c r="P9" s="9"/>
      <c r="R9" s="28" t="s">
        <v>35</v>
      </c>
      <c r="S9" s="8"/>
      <c r="T9" s="8"/>
      <c r="U9" s="9"/>
      <c r="X9" s="30"/>
      <c r="Y9" s="12"/>
      <c r="Z9" s="12"/>
      <c r="AA9" s="13"/>
    </row>
    <row r="10" spans="1:27" x14ac:dyDescent="0.15">
      <c r="B10" s="4" t="s">
        <v>6</v>
      </c>
      <c r="C10" s="20">
        <f>'Financial Model'!Q90</f>
        <v>0</v>
      </c>
      <c r="D10" s="6" t="s">
        <v>56</v>
      </c>
      <c r="G10" s="54">
        <v>44713</v>
      </c>
      <c r="H10" s="8" t="s">
        <v>149</v>
      </c>
      <c r="I10" s="8"/>
      <c r="J10" s="8"/>
      <c r="K10" s="8"/>
      <c r="L10" s="8"/>
      <c r="M10" s="8"/>
      <c r="N10" s="8"/>
      <c r="O10" s="8"/>
      <c r="P10" s="9"/>
      <c r="R10" s="29" t="s">
        <v>36</v>
      </c>
      <c r="S10" s="8"/>
      <c r="T10" s="8"/>
      <c r="U10" s="9"/>
      <c r="X10" s="53"/>
      <c r="Y10" s="14"/>
      <c r="Z10" s="14"/>
      <c r="AA10" s="15"/>
    </row>
    <row r="11" spans="1:27" x14ac:dyDescent="0.15">
      <c r="B11" s="4" t="s">
        <v>7</v>
      </c>
      <c r="C11" s="20">
        <f>C9-C10</f>
        <v>377.61800000000005</v>
      </c>
      <c r="D11" s="6" t="s">
        <v>56</v>
      </c>
      <c r="G11" s="18"/>
      <c r="H11" s="8"/>
      <c r="I11" s="8"/>
      <c r="J11" s="8"/>
      <c r="K11" s="8"/>
      <c r="L11" s="8"/>
      <c r="M11" s="8"/>
      <c r="N11" s="8"/>
      <c r="O11" s="8"/>
      <c r="P11" s="9"/>
      <c r="R11" s="29" t="s">
        <v>37</v>
      </c>
      <c r="S11" s="8"/>
      <c r="T11" s="8"/>
      <c r="U11" s="9"/>
    </row>
    <row r="12" spans="1:27" x14ac:dyDescent="0.15">
      <c r="B12" s="5" t="s">
        <v>8</v>
      </c>
      <c r="C12" s="21">
        <f>C8-C11</f>
        <v>13049.516810000001</v>
      </c>
      <c r="D12" s="7"/>
      <c r="G12" s="18"/>
      <c r="H12" s="8"/>
      <c r="I12" s="8"/>
      <c r="J12" s="8"/>
      <c r="K12" s="8"/>
      <c r="L12" s="8"/>
      <c r="M12" s="8"/>
      <c r="N12" s="8"/>
      <c r="O12" s="8"/>
      <c r="P12" s="9"/>
      <c r="R12" s="29" t="s">
        <v>38</v>
      </c>
      <c r="S12" s="8"/>
      <c r="T12" s="8"/>
      <c r="U12" s="9"/>
    </row>
    <row r="13" spans="1:27" x14ac:dyDescent="0.15">
      <c r="G13" s="18"/>
      <c r="H13" s="8"/>
      <c r="I13" s="8"/>
      <c r="J13" s="8"/>
      <c r="K13" s="8"/>
      <c r="L13" s="8"/>
      <c r="M13" s="8"/>
      <c r="N13" s="8"/>
      <c r="O13" s="8"/>
      <c r="P13" s="9"/>
      <c r="R13" s="29" t="s">
        <v>39</v>
      </c>
      <c r="S13" s="8"/>
      <c r="T13" s="8"/>
      <c r="U13" s="9"/>
    </row>
    <row r="14" spans="1:27" x14ac:dyDescent="0.15">
      <c r="G14" s="18"/>
      <c r="H14" s="8"/>
      <c r="I14" s="8"/>
      <c r="J14" s="8"/>
      <c r="K14" s="8"/>
      <c r="L14" s="8"/>
      <c r="M14" s="8"/>
      <c r="N14" s="8"/>
      <c r="O14" s="8"/>
      <c r="P14" s="9"/>
      <c r="R14" s="55" t="s">
        <v>142</v>
      </c>
      <c r="S14" s="8"/>
      <c r="T14" s="8"/>
      <c r="U14" s="9"/>
    </row>
    <row r="15" spans="1:27" x14ac:dyDescent="0.15">
      <c r="B15" s="77" t="s">
        <v>9</v>
      </c>
      <c r="C15" s="78"/>
      <c r="D15" s="79"/>
      <c r="G15" s="18"/>
      <c r="H15" s="8"/>
      <c r="I15" s="8"/>
      <c r="J15" s="8"/>
      <c r="K15" s="8"/>
      <c r="L15" s="8"/>
      <c r="M15" s="8"/>
      <c r="N15" s="8"/>
      <c r="O15" s="8"/>
      <c r="P15" s="9"/>
      <c r="R15" s="28" t="s">
        <v>40</v>
      </c>
      <c r="S15" s="8"/>
      <c r="T15" s="8"/>
      <c r="U15" s="9"/>
    </row>
    <row r="16" spans="1:27" x14ac:dyDescent="0.15">
      <c r="A16" s="22" t="s">
        <v>26</v>
      </c>
      <c r="B16" s="16" t="s">
        <v>10</v>
      </c>
      <c r="C16" s="82" t="s">
        <v>25</v>
      </c>
      <c r="D16" s="83"/>
      <c r="G16" s="18"/>
      <c r="H16" s="8"/>
      <c r="I16" s="8"/>
      <c r="J16" s="8"/>
      <c r="K16" s="8"/>
      <c r="L16" s="8"/>
      <c r="M16" s="8"/>
      <c r="N16" s="8"/>
      <c r="O16" s="8"/>
      <c r="P16" s="9"/>
      <c r="R16" s="29" t="s">
        <v>41</v>
      </c>
      <c r="S16" s="8"/>
      <c r="T16" s="8"/>
      <c r="U16" s="9"/>
    </row>
    <row r="17" spans="1:21" x14ac:dyDescent="0.15">
      <c r="A17" s="23" t="s">
        <v>31</v>
      </c>
      <c r="B17" s="16" t="s">
        <v>11</v>
      </c>
      <c r="C17" s="82" t="s">
        <v>30</v>
      </c>
      <c r="D17" s="83"/>
      <c r="G17" s="18"/>
      <c r="H17" s="8"/>
      <c r="I17" s="8"/>
      <c r="J17" s="8"/>
      <c r="K17" s="8"/>
      <c r="L17" s="8"/>
      <c r="M17" s="8"/>
      <c r="N17" s="8"/>
      <c r="O17" s="8"/>
      <c r="P17" s="9"/>
      <c r="R17" s="29" t="s">
        <v>42</v>
      </c>
      <c r="S17" s="8"/>
      <c r="T17" s="8"/>
      <c r="U17" s="9"/>
    </row>
    <row r="18" spans="1:21" x14ac:dyDescent="0.15">
      <c r="B18" s="16" t="s">
        <v>12</v>
      </c>
      <c r="C18" s="82" t="s">
        <v>29</v>
      </c>
      <c r="D18" s="83"/>
      <c r="G18" s="18"/>
      <c r="H18" s="8"/>
      <c r="I18" s="8"/>
      <c r="J18" s="8"/>
      <c r="K18" s="8"/>
      <c r="L18" s="8"/>
      <c r="M18" s="8"/>
      <c r="N18" s="8"/>
      <c r="O18" s="8"/>
      <c r="P18" s="9"/>
      <c r="R18" s="30"/>
      <c r="S18" s="8"/>
      <c r="T18" s="8"/>
      <c r="U18" s="9"/>
    </row>
    <row r="19" spans="1:21" x14ac:dyDescent="0.15">
      <c r="B19" s="17" t="s">
        <v>27</v>
      </c>
      <c r="C19" s="84" t="s">
        <v>28</v>
      </c>
      <c r="D19" s="85"/>
      <c r="G19" s="18"/>
      <c r="H19" s="8"/>
      <c r="I19" s="8"/>
      <c r="J19" s="8"/>
      <c r="K19" s="8"/>
      <c r="L19" s="8"/>
      <c r="M19" s="8"/>
      <c r="N19" s="8"/>
      <c r="O19" s="8"/>
      <c r="P19" s="9"/>
      <c r="R19" s="28" t="s">
        <v>43</v>
      </c>
      <c r="S19" s="8"/>
      <c r="T19" s="8"/>
      <c r="U19" s="9"/>
    </row>
    <row r="20" spans="1:21" x14ac:dyDescent="0.15">
      <c r="G20" s="18"/>
      <c r="H20" s="8"/>
      <c r="I20" s="8"/>
      <c r="J20" s="8"/>
      <c r="K20" s="8"/>
      <c r="L20" s="8"/>
      <c r="M20" s="8"/>
      <c r="N20" s="8"/>
      <c r="O20" s="8"/>
      <c r="P20" s="9"/>
      <c r="R20" s="29" t="s">
        <v>44</v>
      </c>
      <c r="S20" s="8"/>
      <c r="T20" s="8"/>
      <c r="U20" s="9"/>
    </row>
    <row r="21" spans="1:21" x14ac:dyDescent="0.15">
      <c r="G21" s="18"/>
      <c r="H21" s="8"/>
      <c r="I21" s="8"/>
      <c r="J21" s="8"/>
      <c r="K21" s="8"/>
      <c r="L21" s="8"/>
      <c r="M21" s="8"/>
      <c r="N21" s="8"/>
      <c r="O21" s="8"/>
      <c r="P21" s="9"/>
      <c r="R21" s="29" t="s">
        <v>45</v>
      </c>
      <c r="S21" s="8"/>
      <c r="T21" s="8"/>
      <c r="U21" s="9"/>
    </row>
    <row r="22" spans="1:21" x14ac:dyDescent="0.15">
      <c r="B22" s="77" t="s">
        <v>13</v>
      </c>
      <c r="C22" s="78"/>
      <c r="D22" s="79"/>
      <c r="G22" s="18"/>
      <c r="H22" s="8"/>
      <c r="I22" s="8"/>
      <c r="J22" s="8"/>
      <c r="K22" s="8"/>
      <c r="L22" s="8"/>
      <c r="M22" s="8"/>
      <c r="N22" s="8"/>
      <c r="O22" s="8"/>
      <c r="P22" s="9"/>
      <c r="R22" s="30"/>
      <c r="S22" s="8"/>
      <c r="T22" s="8"/>
      <c r="U22" s="9"/>
    </row>
    <row r="23" spans="1:21" x14ac:dyDescent="0.15">
      <c r="B23" s="18" t="s">
        <v>14</v>
      </c>
      <c r="C23" s="82" t="s">
        <v>33</v>
      </c>
      <c r="D23" s="83"/>
      <c r="G23" s="18"/>
      <c r="H23" s="8"/>
      <c r="I23" s="8"/>
      <c r="J23" s="8"/>
      <c r="K23" s="8"/>
      <c r="L23" s="8"/>
      <c r="M23" s="8"/>
      <c r="N23" s="8"/>
      <c r="O23" s="8"/>
      <c r="P23" s="9"/>
      <c r="R23" s="28" t="s">
        <v>46</v>
      </c>
      <c r="S23" s="8"/>
      <c r="T23" s="8"/>
      <c r="U23" s="9"/>
    </row>
    <row r="24" spans="1:21" x14ac:dyDescent="0.15">
      <c r="B24" s="18" t="s">
        <v>15</v>
      </c>
      <c r="C24" s="82">
        <v>1993</v>
      </c>
      <c r="D24" s="83"/>
      <c r="G24" s="18"/>
      <c r="H24" s="8"/>
      <c r="I24" s="8"/>
      <c r="J24" s="8"/>
      <c r="K24" s="8"/>
      <c r="L24" s="8"/>
      <c r="M24" s="8"/>
      <c r="N24" s="8"/>
      <c r="O24" s="8"/>
      <c r="P24" s="9"/>
      <c r="R24" s="29" t="s">
        <v>47</v>
      </c>
      <c r="S24" s="8"/>
      <c r="T24" s="8"/>
      <c r="U24" s="9"/>
    </row>
    <row r="25" spans="1:21" x14ac:dyDescent="0.15">
      <c r="B25" s="18"/>
      <c r="C25" s="80"/>
      <c r="D25" s="81"/>
      <c r="G25" s="54">
        <v>43221</v>
      </c>
      <c r="H25" s="8" t="s">
        <v>141</v>
      </c>
      <c r="I25" s="8"/>
      <c r="J25" s="8"/>
      <c r="K25" s="8"/>
      <c r="L25" s="8"/>
      <c r="M25" s="8"/>
      <c r="N25" s="8"/>
      <c r="O25" s="8"/>
      <c r="P25" s="9"/>
      <c r="R25" s="29" t="s">
        <v>48</v>
      </c>
      <c r="S25" s="8"/>
      <c r="T25" s="8"/>
      <c r="U25" s="9"/>
    </row>
    <row r="26" spans="1:21" x14ac:dyDescent="0.15">
      <c r="B26" s="18"/>
      <c r="C26" s="80"/>
      <c r="D26" s="81"/>
      <c r="G26" s="18"/>
      <c r="H26" s="8"/>
      <c r="I26" s="8"/>
      <c r="J26" s="8"/>
      <c r="K26" s="8"/>
      <c r="L26" s="8"/>
      <c r="M26" s="8"/>
      <c r="N26" s="8"/>
      <c r="O26" s="8"/>
      <c r="P26" s="9"/>
      <c r="R26" s="30"/>
      <c r="S26" s="8"/>
      <c r="T26" s="8"/>
      <c r="U26" s="9"/>
    </row>
    <row r="27" spans="1:21" x14ac:dyDescent="0.15">
      <c r="B27" s="18" t="s">
        <v>19</v>
      </c>
      <c r="C27" s="57" t="s">
        <v>57</v>
      </c>
      <c r="D27" s="58"/>
      <c r="G27" s="18"/>
      <c r="H27" s="8"/>
      <c r="I27" s="8"/>
      <c r="J27" s="8"/>
      <c r="K27" s="8"/>
      <c r="L27" s="8"/>
      <c r="M27" s="8"/>
      <c r="N27" s="8"/>
      <c r="O27" s="8"/>
      <c r="P27" s="9"/>
      <c r="R27" s="28" t="s">
        <v>49</v>
      </c>
      <c r="S27" s="8"/>
      <c r="T27" s="8"/>
      <c r="U27" s="9"/>
    </row>
    <row r="28" spans="1:21" x14ac:dyDescent="0.15">
      <c r="B28" s="19" t="s">
        <v>20</v>
      </c>
      <c r="C28" s="86" t="s">
        <v>175</v>
      </c>
      <c r="D28" s="87"/>
      <c r="G28" s="19">
        <v>2007</v>
      </c>
      <c r="H28" s="10" t="s">
        <v>34</v>
      </c>
      <c r="I28" s="10"/>
      <c r="J28" s="10"/>
      <c r="K28" s="10"/>
      <c r="L28" s="10"/>
      <c r="M28" s="10"/>
      <c r="N28" s="10"/>
      <c r="O28" s="10"/>
      <c r="P28" s="11"/>
      <c r="R28" s="29" t="s">
        <v>50</v>
      </c>
      <c r="S28" s="8"/>
      <c r="T28" s="8"/>
      <c r="U28" s="9"/>
    </row>
    <row r="29" spans="1:21" x14ac:dyDescent="0.15">
      <c r="R29" s="31" t="s">
        <v>51</v>
      </c>
      <c r="S29" s="10"/>
      <c r="T29" s="10"/>
      <c r="U29" s="11"/>
    </row>
    <row r="31" spans="1:21" x14ac:dyDescent="0.15">
      <c r="B31" s="77" t="s">
        <v>21</v>
      </c>
      <c r="C31" s="78"/>
      <c r="D31" s="79"/>
    </row>
    <row r="32" spans="1:21" x14ac:dyDescent="0.15">
      <c r="B32" s="18" t="s">
        <v>22</v>
      </c>
      <c r="C32" s="88">
        <f>C8/SUM('Financial Model'!N5:Q5)</f>
        <v>12.532665911248298</v>
      </c>
      <c r="D32" s="89"/>
      <c r="R32" s="2" t="s">
        <v>148</v>
      </c>
    </row>
    <row r="33" spans="2:18" x14ac:dyDescent="0.15">
      <c r="B33" s="18" t="s">
        <v>23</v>
      </c>
      <c r="C33" s="88">
        <f>C6/'Financial Model'!Q84</f>
        <v>10.904968309556024</v>
      </c>
      <c r="D33" s="89"/>
      <c r="R33" s="1" t="s">
        <v>143</v>
      </c>
    </row>
    <row r="34" spans="2:18" x14ac:dyDescent="0.15">
      <c r="B34" s="19" t="s">
        <v>24</v>
      </c>
      <c r="C34" s="90"/>
      <c r="D34" s="91"/>
      <c r="R34" s="1" t="s">
        <v>144</v>
      </c>
    </row>
    <row r="35" spans="2:18" x14ac:dyDescent="0.15">
      <c r="R35" s="1" t="s">
        <v>145</v>
      </c>
    </row>
    <row r="36" spans="2:18" x14ac:dyDescent="0.15">
      <c r="R36" s="1" t="s">
        <v>146</v>
      </c>
    </row>
    <row r="37" spans="2:18" x14ac:dyDescent="0.15">
      <c r="R37" s="1" t="s">
        <v>147</v>
      </c>
    </row>
  </sheetData>
  <mergeCells count="19">
    <mergeCell ref="C28:D28"/>
    <mergeCell ref="B31:D31"/>
    <mergeCell ref="C32:D32"/>
    <mergeCell ref="C33:D33"/>
    <mergeCell ref="C34:D34"/>
    <mergeCell ref="B22:D22"/>
    <mergeCell ref="R5:U5"/>
    <mergeCell ref="X5:AA5"/>
    <mergeCell ref="G5:P5"/>
    <mergeCell ref="C26:D26"/>
    <mergeCell ref="C25:D25"/>
    <mergeCell ref="C24:D24"/>
    <mergeCell ref="C23:D23"/>
    <mergeCell ref="B5:D5"/>
    <mergeCell ref="B15:D15"/>
    <mergeCell ref="C16:D16"/>
    <mergeCell ref="C17:D17"/>
    <mergeCell ref="C18:D18"/>
    <mergeCell ref="C19:D19"/>
  </mergeCells>
  <hyperlinks>
    <hyperlink ref="C28:D28" r:id="rId1" display="Link" xr:uid="{79BCDA43-1DBD-4865-999E-0DD05314FB66}"/>
  </hyperlinks>
  <pageMargins left="0.7" right="0.7" top="0.75" bottom="0.75" header="0.3" footer="0.3"/>
  <pageSetup paperSize="256" orientation="portrait" horizontalDpi="203" verticalDpi="203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86C6-03D5-4DEA-B3BA-C40A632BF30C}">
  <dimension ref="A1:BU99"/>
  <sheetViews>
    <sheetView tabSelected="1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Z10" sqref="Z10"/>
    </sheetView>
  </sheetViews>
  <sheetFormatPr baseColWidth="10" defaultColWidth="9.1640625" defaultRowHeight="13" x14ac:dyDescent="0.15"/>
  <cols>
    <col min="1" max="1" width="5.5" style="1" customWidth="1"/>
    <col min="2" max="2" width="25" style="1" bestFit="1" customWidth="1"/>
    <col min="3" max="16" width="9.1640625" style="1"/>
    <col min="17" max="17" width="9.1640625" style="65"/>
    <col min="18" max="18" width="9.1640625" style="48"/>
    <col min="19" max="24" width="9.1640625" style="1"/>
    <col min="25" max="25" width="9.1640625" style="48"/>
    <col min="26" max="36" width="9.1640625" style="1"/>
    <col min="37" max="37" width="12" style="1" bestFit="1" customWidth="1"/>
    <col min="38" max="38" width="10.6640625" style="1" bestFit="1" customWidth="1"/>
    <col min="39" max="16384" width="9.1640625" style="1"/>
  </cols>
  <sheetData>
    <row r="1" spans="2:35" s="34" customFormat="1" x14ac:dyDescent="0.15">
      <c r="C1" s="34" t="s">
        <v>152</v>
      </c>
      <c r="D1" s="34" t="s">
        <v>153</v>
      </c>
      <c r="E1" s="34" t="s">
        <v>154</v>
      </c>
      <c r="F1" s="34" t="s">
        <v>155</v>
      </c>
      <c r="G1" s="34" t="s">
        <v>63</v>
      </c>
      <c r="H1" s="34" t="s">
        <v>64</v>
      </c>
      <c r="I1" s="34" t="s">
        <v>65</v>
      </c>
      <c r="J1" s="34" t="s">
        <v>59</v>
      </c>
      <c r="K1" s="49" t="s">
        <v>60</v>
      </c>
      <c r="L1" s="34" t="s">
        <v>61</v>
      </c>
      <c r="M1" s="34" t="s">
        <v>62</v>
      </c>
      <c r="N1" s="49" t="s">
        <v>54</v>
      </c>
      <c r="O1" s="34" t="s">
        <v>55</v>
      </c>
      <c r="P1" s="49" t="s">
        <v>56</v>
      </c>
      <c r="Q1" s="61" t="s">
        <v>57</v>
      </c>
      <c r="R1" s="69" t="s">
        <v>97</v>
      </c>
      <c r="U1" s="34" t="s">
        <v>89</v>
      </c>
      <c r="V1" s="34" t="s">
        <v>85</v>
      </c>
      <c r="W1" s="49" t="s">
        <v>86</v>
      </c>
      <c r="X1" s="49" t="s">
        <v>87</v>
      </c>
      <c r="Y1" s="69" t="s">
        <v>88</v>
      </c>
      <c r="Z1" s="34" t="s">
        <v>158</v>
      </c>
      <c r="AA1" s="34" t="s">
        <v>159</v>
      </c>
      <c r="AB1" s="34" t="s">
        <v>160</v>
      </c>
      <c r="AC1" s="34" t="s">
        <v>161</v>
      </c>
      <c r="AD1" s="34" t="s">
        <v>162</v>
      </c>
      <c r="AE1" s="34" t="s">
        <v>163</v>
      </c>
      <c r="AF1" s="34" t="s">
        <v>164</v>
      </c>
      <c r="AG1" s="34" t="s">
        <v>165</v>
      </c>
      <c r="AH1" s="34" t="s">
        <v>166</v>
      </c>
      <c r="AI1" s="34" t="s">
        <v>167</v>
      </c>
    </row>
    <row r="2" spans="2:35" s="32" customFormat="1" x14ac:dyDescent="0.15">
      <c r="B2" s="33"/>
      <c r="C2" s="37"/>
      <c r="D2" s="37"/>
      <c r="E2" s="37"/>
      <c r="F2" s="37"/>
      <c r="G2" s="37">
        <v>43921</v>
      </c>
      <c r="J2" s="37">
        <v>44196</v>
      </c>
      <c r="K2" s="37">
        <v>44286</v>
      </c>
      <c r="L2" s="37">
        <v>44377</v>
      </c>
      <c r="M2" s="37">
        <v>44469</v>
      </c>
      <c r="N2" s="37">
        <v>44561</v>
      </c>
      <c r="O2" s="37">
        <v>44651</v>
      </c>
      <c r="P2" s="37">
        <v>44742</v>
      </c>
      <c r="Q2" s="67">
        <v>44834</v>
      </c>
      <c r="R2" s="46" t="s">
        <v>58</v>
      </c>
      <c r="U2" s="37">
        <v>43465</v>
      </c>
      <c r="V2" s="37">
        <v>43830</v>
      </c>
      <c r="W2" s="37">
        <v>44196</v>
      </c>
      <c r="X2" s="37">
        <v>44561</v>
      </c>
      <c r="Y2" s="46" t="s">
        <v>58</v>
      </c>
    </row>
    <row r="3" spans="2:35" s="35" customFormat="1" x14ac:dyDescent="0.15">
      <c r="B3" s="36" t="s">
        <v>16</v>
      </c>
      <c r="J3" s="38">
        <v>174.11600000000001</v>
      </c>
      <c r="K3" s="38">
        <v>140.886</v>
      </c>
      <c r="L3" s="38">
        <v>156.42699999999999</v>
      </c>
      <c r="M3" s="38">
        <v>165.803</v>
      </c>
      <c r="N3" s="38">
        <v>145.40899999999999</v>
      </c>
      <c r="O3" s="38">
        <v>176.20400000000001</v>
      </c>
      <c r="P3" s="38">
        <v>200.05099999999999</v>
      </c>
      <c r="Q3" s="62">
        <v>210.398</v>
      </c>
      <c r="R3" s="47">
        <f>Q3*1.08</f>
        <v>227.22984000000002</v>
      </c>
      <c r="U3" s="38">
        <v>327.63499999999999</v>
      </c>
      <c r="V3" s="38">
        <v>399.47399999999999</v>
      </c>
      <c r="W3" s="38">
        <v>500.25</v>
      </c>
      <c r="X3" s="38">
        <f>SUM(K3:N3)</f>
        <v>608.52499999999998</v>
      </c>
      <c r="Y3" s="47">
        <f>SUM(O3:R3)</f>
        <v>813.88283999999999</v>
      </c>
    </row>
    <row r="4" spans="2:35" s="35" customFormat="1" x14ac:dyDescent="0.15">
      <c r="B4" s="36" t="s">
        <v>66</v>
      </c>
      <c r="J4" s="38">
        <v>52.024000000000001</v>
      </c>
      <c r="K4" s="38">
        <v>54.133000000000003</v>
      </c>
      <c r="L4" s="38">
        <v>62.368000000000002</v>
      </c>
      <c r="M4" s="38">
        <v>66.186000000000007</v>
      </c>
      <c r="N4" s="38">
        <v>72.168999999999997</v>
      </c>
      <c r="O4" s="38">
        <v>80.221999999999994</v>
      </c>
      <c r="P4" s="38">
        <v>85.561999999999998</v>
      </c>
      <c r="Q4" s="62">
        <v>101.35599999999999</v>
      </c>
      <c r="R4" s="47">
        <f>Q4*1.13</f>
        <v>114.53227999999999</v>
      </c>
      <c r="U4" s="38">
        <v>92.433000000000007</v>
      </c>
      <c r="V4" s="38">
        <v>131.386</v>
      </c>
      <c r="W4" s="38">
        <v>180.75299999999999</v>
      </c>
      <c r="X4" s="38">
        <f>SUM(K4:N4)</f>
        <v>254.85599999999999</v>
      </c>
      <c r="Y4" s="47">
        <f>SUM(O4:R4)</f>
        <v>381.67228</v>
      </c>
    </row>
    <row r="5" spans="2:35" s="2" customFormat="1" x14ac:dyDescent="0.15">
      <c r="B5" s="2" t="s">
        <v>96</v>
      </c>
      <c r="J5" s="39">
        <f t="shared" ref="J5:R5" si="0">J3+J4</f>
        <v>226.14000000000001</v>
      </c>
      <c r="K5" s="39">
        <f t="shared" si="0"/>
        <v>195.01900000000001</v>
      </c>
      <c r="L5" s="39">
        <f t="shared" si="0"/>
        <v>218.79499999999999</v>
      </c>
      <c r="M5" s="39">
        <f t="shared" si="0"/>
        <v>231.989</v>
      </c>
      <c r="N5" s="39">
        <f t="shared" si="0"/>
        <v>217.57799999999997</v>
      </c>
      <c r="O5" s="39">
        <f t="shared" si="0"/>
        <v>256.42599999999999</v>
      </c>
      <c r="P5" s="39">
        <f t="shared" si="0"/>
        <v>285.613</v>
      </c>
      <c r="Q5" s="39">
        <f t="shared" si="0"/>
        <v>311.75400000000002</v>
      </c>
      <c r="R5" s="73">
        <f t="shared" si="0"/>
        <v>341.76211999999998</v>
      </c>
      <c r="U5" s="39">
        <f t="shared" ref="U5:W5" si="1">U3+U4</f>
        <v>420.06799999999998</v>
      </c>
      <c r="V5" s="39">
        <f t="shared" si="1"/>
        <v>530.86</v>
      </c>
      <c r="W5" s="39">
        <f t="shared" si="1"/>
        <v>681.00299999999993</v>
      </c>
      <c r="X5" s="39">
        <f>X3+X4</f>
        <v>863.38099999999997</v>
      </c>
      <c r="Y5" s="73">
        <f>Y3+Y4</f>
        <v>1195.55512</v>
      </c>
      <c r="Z5" s="39">
        <f>Y5*(1+Z21)</f>
        <v>1673.7771679999998</v>
      </c>
      <c r="AA5" s="39">
        <f t="shared" ref="AA5:AI5" si="2">Z5*(1+AA21)</f>
        <v>2343.2880351999997</v>
      </c>
      <c r="AB5" s="39">
        <f t="shared" si="2"/>
        <v>3233.7374885759996</v>
      </c>
      <c r="AC5" s="39">
        <f t="shared" si="2"/>
        <v>4397.8829844633592</v>
      </c>
      <c r="AD5" s="39">
        <f t="shared" si="2"/>
        <v>5981.1208588701684</v>
      </c>
      <c r="AE5" s="39">
        <f t="shared" si="2"/>
        <v>8074.5131594747281</v>
      </c>
      <c r="AF5" s="39">
        <f t="shared" si="2"/>
        <v>10900.592765290883</v>
      </c>
      <c r="AG5" s="39">
        <f t="shared" si="2"/>
        <v>14715.800233142692</v>
      </c>
      <c r="AH5" s="39">
        <f t="shared" si="2"/>
        <v>19866.330314742638</v>
      </c>
      <c r="AI5" s="39">
        <f t="shared" si="2"/>
        <v>26819.545924902563</v>
      </c>
    </row>
    <row r="6" spans="2:35" s="35" customFormat="1" x14ac:dyDescent="0.15">
      <c r="B6" s="36" t="s">
        <v>67</v>
      </c>
      <c r="J6" s="38">
        <v>73.623999999999995</v>
      </c>
      <c r="K6" s="38">
        <v>58.616</v>
      </c>
      <c r="L6" s="38">
        <v>65.301000000000002</v>
      </c>
      <c r="M6" s="38">
        <v>71.335999999999999</v>
      </c>
      <c r="N6" s="38">
        <v>64.844999999999999</v>
      </c>
      <c r="O6" s="38">
        <v>79.352000000000004</v>
      </c>
      <c r="P6" s="38">
        <v>87.501999999999995</v>
      </c>
      <c r="Q6" s="62">
        <v>93.724000000000004</v>
      </c>
      <c r="R6" s="48"/>
      <c r="U6" s="38">
        <v>139.33699999999999</v>
      </c>
      <c r="V6" s="38">
        <v>190.68299999999999</v>
      </c>
      <c r="W6" s="38">
        <v>224.131</v>
      </c>
      <c r="X6" s="38">
        <f>SUM(K6:N6)</f>
        <v>260.09799999999996</v>
      </c>
      <c r="Y6" s="47"/>
    </row>
    <row r="7" spans="2:35" s="35" customFormat="1" x14ac:dyDescent="0.15">
      <c r="B7" s="36" t="s">
        <v>68</v>
      </c>
      <c r="J7" s="38">
        <v>11.21</v>
      </c>
      <c r="K7" s="38">
        <v>13.05</v>
      </c>
      <c r="L7" s="38">
        <v>15.565</v>
      </c>
      <c r="M7" s="38">
        <v>16.085999999999999</v>
      </c>
      <c r="N7" s="38">
        <v>17.672000000000001</v>
      </c>
      <c r="O7" s="38">
        <v>21.335000000000001</v>
      </c>
      <c r="P7" s="38">
        <v>24.148</v>
      </c>
      <c r="Q7" s="62">
        <v>24.773</v>
      </c>
      <c r="R7" s="48"/>
      <c r="U7" s="38">
        <v>22.148</v>
      </c>
      <c r="V7" s="38">
        <v>32.890999999999998</v>
      </c>
      <c r="W7" s="38">
        <v>40.540999999999997</v>
      </c>
      <c r="X7" s="38">
        <f>SUM(K7:N7)</f>
        <v>62.373000000000005</v>
      </c>
      <c r="Y7" s="47"/>
    </row>
    <row r="8" spans="2:35" x14ac:dyDescent="0.15">
      <c r="B8" s="1" t="s">
        <v>95</v>
      </c>
      <c r="J8" s="40">
        <f>J6+J7</f>
        <v>84.834000000000003</v>
      </c>
      <c r="K8" s="40">
        <f t="shared" ref="K8" si="3">K6+K7</f>
        <v>71.665999999999997</v>
      </c>
      <c r="L8" s="40">
        <f>L6+L7</f>
        <v>80.866</v>
      </c>
      <c r="M8" s="40">
        <f t="shared" ref="M8" si="4">M6+M7</f>
        <v>87.421999999999997</v>
      </c>
      <c r="N8" s="40">
        <f>N6+N7</f>
        <v>82.516999999999996</v>
      </c>
      <c r="O8" s="40">
        <f>O6+O7</f>
        <v>100.68700000000001</v>
      </c>
      <c r="P8" s="40">
        <f>P6+P7</f>
        <v>111.64999999999999</v>
      </c>
      <c r="Q8" s="40">
        <f t="shared" ref="Q8" si="5">Q6+Q7</f>
        <v>118.497</v>
      </c>
      <c r="R8" s="47">
        <f>R5*(1-R28)</f>
        <v>129.8696056</v>
      </c>
      <c r="U8" s="40">
        <f t="shared" ref="U8" si="6">U6+U7</f>
        <v>161.48499999999999</v>
      </c>
      <c r="V8" s="40">
        <f t="shared" ref="V8:W8" si="7">V6+V7</f>
        <v>223.57399999999998</v>
      </c>
      <c r="W8" s="40">
        <f t="shared" si="7"/>
        <v>264.67200000000003</v>
      </c>
      <c r="X8" s="40">
        <f>X6+X7</f>
        <v>322.47099999999995</v>
      </c>
      <c r="Y8" s="47">
        <f>SUM(O8:R8)</f>
        <v>460.7036056</v>
      </c>
      <c r="Z8" s="40">
        <f>Z5*(1-Z28)</f>
        <v>636.03532383999993</v>
      </c>
      <c r="AA8" s="40">
        <f t="shared" ref="AA8:AI8" si="8">AA5*(1-AA28)</f>
        <v>867.01657302399985</v>
      </c>
      <c r="AB8" s="40">
        <f t="shared" si="8"/>
        <v>1196.4828707731199</v>
      </c>
      <c r="AC8" s="40">
        <f t="shared" si="8"/>
        <v>1627.2167042514429</v>
      </c>
      <c r="AD8" s="40">
        <f t="shared" si="8"/>
        <v>2213.0147177819622</v>
      </c>
      <c r="AE8" s="40">
        <f t="shared" si="8"/>
        <v>2987.5698690056493</v>
      </c>
      <c r="AF8" s="40">
        <f t="shared" si="8"/>
        <v>4033.2193231576266</v>
      </c>
      <c r="AG8" s="40">
        <f t="shared" si="8"/>
        <v>5444.8460862627962</v>
      </c>
      <c r="AH8" s="40">
        <f t="shared" si="8"/>
        <v>7350.5422164547763</v>
      </c>
      <c r="AI8" s="40">
        <f t="shared" si="8"/>
        <v>9923.2319922139486</v>
      </c>
    </row>
    <row r="9" spans="2:35" s="2" customFormat="1" x14ac:dyDescent="0.15">
      <c r="B9" s="2" t="s">
        <v>69</v>
      </c>
      <c r="J9" s="39">
        <f>J5-J8</f>
        <v>141.30600000000001</v>
      </c>
      <c r="K9" s="39">
        <f t="shared" ref="K9" si="9">K5-K8</f>
        <v>123.35300000000001</v>
      </c>
      <c r="L9" s="39">
        <f>L5-L8</f>
        <v>137.92899999999997</v>
      </c>
      <c r="M9" s="39">
        <f t="shared" ref="M9" si="10">M5-M8</f>
        <v>144.56700000000001</v>
      </c>
      <c r="N9" s="39">
        <f>N5-N8</f>
        <v>135.06099999999998</v>
      </c>
      <c r="O9" s="39">
        <f>O5-O8</f>
        <v>155.73899999999998</v>
      </c>
      <c r="P9" s="39">
        <f>P5-P8</f>
        <v>173.96300000000002</v>
      </c>
      <c r="Q9" s="39">
        <f t="shared" ref="Q9:R9" si="11">Q5-Q8</f>
        <v>193.25700000000001</v>
      </c>
      <c r="R9" s="73">
        <f t="shared" si="11"/>
        <v>211.89251439999998</v>
      </c>
      <c r="U9" s="39">
        <f t="shared" ref="U9" si="12">U5-U8</f>
        <v>258.58299999999997</v>
      </c>
      <c r="V9" s="39">
        <f t="shared" ref="V9:W9" si="13">V5-V8</f>
        <v>307.28600000000006</v>
      </c>
      <c r="W9" s="39">
        <f t="shared" si="13"/>
        <v>416.3309999999999</v>
      </c>
      <c r="X9" s="39">
        <f>X5-X8</f>
        <v>540.91000000000008</v>
      </c>
      <c r="Y9" s="73">
        <f>Y5-Y8</f>
        <v>734.85151440000004</v>
      </c>
      <c r="Z9" s="39">
        <f>Z5-Z8</f>
        <v>1037.7418441599998</v>
      </c>
      <c r="AA9" s="39">
        <f t="shared" ref="AA9:AI9" si="14">AA5-AA8</f>
        <v>1476.2714621759999</v>
      </c>
      <c r="AB9" s="39">
        <f t="shared" si="14"/>
        <v>2037.2546178028797</v>
      </c>
      <c r="AC9" s="39">
        <f t="shared" si="14"/>
        <v>2770.6662802119163</v>
      </c>
      <c r="AD9" s="39">
        <f t="shared" si="14"/>
        <v>3768.1061410882062</v>
      </c>
      <c r="AE9" s="39">
        <f t="shared" si="14"/>
        <v>5086.9432904690784</v>
      </c>
      <c r="AF9" s="39">
        <f t="shared" si="14"/>
        <v>6867.3734421332565</v>
      </c>
      <c r="AG9" s="39">
        <f t="shared" si="14"/>
        <v>9270.9541468798961</v>
      </c>
      <c r="AH9" s="39">
        <f t="shared" si="14"/>
        <v>12515.788098287861</v>
      </c>
      <c r="AI9" s="39">
        <f t="shared" si="14"/>
        <v>16896.313932688616</v>
      </c>
    </row>
    <row r="10" spans="2:35" s="40" customFormat="1" x14ac:dyDescent="0.15">
      <c r="B10" s="40" t="s">
        <v>70</v>
      </c>
      <c r="J10" s="40">
        <v>97.522999999999996</v>
      </c>
      <c r="K10" s="40">
        <v>126.59699999999999</v>
      </c>
      <c r="L10" s="40">
        <v>177.66200000000001</v>
      </c>
      <c r="M10" s="40">
        <v>99.295000000000002</v>
      </c>
      <c r="N10" s="40">
        <v>111.453</v>
      </c>
      <c r="O10" s="40">
        <v>90.129000000000005</v>
      </c>
      <c r="P10" s="40">
        <v>95.004999999999995</v>
      </c>
      <c r="Q10" s="64">
        <v>102.023</v>
      </c>
      <c r="R10" s="47">
        <f>R9*0.58</f>
        <v>122.89765835199998</v>
      </c>
      <c r="U10" s="40">
        <v>156.886</v>
      </c>
      <c r="V10" s="40">
        <v>212.959</v>
      </c>
      <c r="W10" s="40">
        <v>307.286</v>
      </c>
      <c r="X10" s="40">
        <f>SUM(K10:N10)</f>
        <v>515.00700000000006</v>
      </c>
      <c r="Y10" s="47">
        <f>SUM(O10:R10)</f>
        <v>410.05465835200005</v>
      </c>
      <c r="Z10" s="40">
        <f t="shared" ref="Z10:AI10" si="15">Z9*0.65</f>
        <v>674.53219870399994</v>
      </c>
      <c r="AA10" s="40">
        <f t="shared" si="15"/>
        <v>959.57645041439991</v>
      </c>
      <c r="AB10" s="40">
        <f t="shared" si="15"/>
        <v>1324.2155015718718</v>
      </c>
      <c r="AC10" s="40">
        <f t="shared" si="15"/>
        <v>1800.9330821377457</v>
      </c>
      <c r="AD10" s="40">
        <f t="shared" si="15"/>
        <v>2449.268991707334</v>
      </c>
      <c r="AE10" s="40">
        <f t="shared" si="15"/>
        <v>3306.5131388049012</v>
      </c>
      <c r="AF10" s="40">
        <f t="shared" si="15"/>
        <v>4463.7927373866169</v>
      </c>
      <c r="AG10" s="40">
        <f t="shared" si="15"/>
        <v>6026.1201954719327</v>
      </c>
      <c r="AH10" s="40">
        <f t="shared" si="15"/>
        <v>8135.2622638871098</v>
      </c>
      <c r="AI10" s="40">
        <f t="shared" si="15"/>
        <v>10982.604056247601</v>
      </c>
    </row>
    <row r="11" spans="2:35" s="40" customFormat="1" x14ac:dyDescent="0.15">
      <c r="B11" s="40" t="s">
        <v>71</v>
      </c>
      <c r="J11" s="40">
        <v>38.008000000000003</v>
      </c>
      <c r="K11" s="40">
        <v>47.018000000000001</v>
      </c>
      <c r="L11" s="40">
        <v>53.951999999999998</v>
      </c>
      <c r="M11" s="40">
        <v>42.381999999999998</v>
      </c>
      <c r="N11" s="40">
        <v>50.673999999999999</v>
      </c>
      <c r="O11" s="40">
        <v>48.415999999999997</v>
      </c>
      <c r="P11" s="40">
        <v>57.546999999999997</v>
      </c>
      <c r="Q11" s="64">
        <v>59.127000000000002</v>
      </c>
      <c r="R11" s="47">
        <f>R9*R33</f>
        <v>44.497428023999994</v>
      </c>
      <c r="U11" s="40">
        <v>76.855999999999995</v>
      </c>
      <c r="V11" s="40">
        <v>100.721</v>
      </c>
      <c r="W11" s="40">
        <v>123.19499999999999</v>
      </c>
      <c r="X11" s="40">
        <f t="shared" ref="X11:X16" si="16">SUM(K11:N11)</f>
        <v>194.02600000000001</v>
      </c>
      <c r="Y11" s="47">
        <f>SUM(O11:R11)</f>
        <v>209.58742802399999</v>
      </c>
      <c r="Z11" s="40">
        <f>Z5*Z33</f>
        <v>318.01766191999997</v>
      </c>
      <c r="AA11" s="40">
        <f t="shared" ref="AA11:AI11" si="17">AA5*AA33</f>
        <v>468.65760703999996</v>
      </c>
      <c r="AB11" s="40">
        <f t="shared" si="17"/>
        <v>646.74749771519998</v>
      </c>
      <c r="AC11" s="40">
        <f t="shared" si="17"/>
        <v>879.57659689267189</v>
      </c>
      <c r="AD11" s="40">
        <f t="shared" si="17"/>
        <v>1196.2241717740337</v>
      </c>
      <c r="AE11" s="40">
        <f t="shared" si="17"/>
        <v>1614.9026318949457</v>
      </c>
      <c r="AF11" s="40">
        <f t="shared" si="17"/>
        <v>1962.106697752359</v>
      </c>
      <c r="AG11" s="40">
        <f t="shared" si="17"/>
        <v>2648.8440419656845</v>
      </c>
      <c r="AH11" s="40">
        <f t="shared" si="17"/>
        <v>3575.9394566536748</v>
      </c>
      <c r="AI11" s="40">
        <f t="shared" si="17"/>
        <v>4827.5182664824615</v>
      </c>
    </row>
    <row r="12" spans="2:35" x14ac:dyDescent="0.15">
      <c r="B12" s="1" t="s">
        <v>72</v>
      </c>
      <c r="J12" s="40">
        <f t="shared" ref="J12:P12" si="18">J10+J11</f>
        <v>135.53100000000001</v>
      </c>
      <c r="K12" s="40">
        <f t="shared" si="18"/>
        <v>173.61500000000001</v>
      </c>
      <c r="L12" s="40">
        <f t="shared" si="18"/>
        <v>231.614</v>
      </c>
      <c r="M12" s="40">
        <f t="shared" si="18"/>
        <v>141.67699999999999</v>
      </c>
      <c r="N12" s="40">
        <f t="shared" si="18"/>
        <v>162.12700000000001</v>
      </c>
      <c r="O12" s="40">
        <f t="shared" si="18"/>
        <v>138.54500000000002</v>
      </c>
      <c r="P12" s="40">
        <f t="shared" si="18"/>
        <v>152.55199999999999</v>
      </c>
      <c r="Q12" s="40">
        <f t="shared" ref="Q12:R12" si="19">Q10+Q11</f>
        <v>161.15</v>
      </c>
      <c r="R12" s="47">
        <f t="shared" si="19"/>
        <v>167.39508637599997</v>
      </c>
      <c r="U12" s="40">
        <f t="shared" ref="U12:V12" si="20">U10+U11</f>
        <v>233.74199999999999</v>
      </c>
      <c r="V12" s="40">
        <f t="shared" si="20"/>
        <v>313.68</v>
      </c>
      <c r="W12" s="40">
        <f t="shared" ref="W12" si="21">W10+W11</f>
        <v>430.48099999999999</v>
      </c>
      <c r="X12" s="40">
        <f>X10+X11</f>
        <v>709.03300000000013</v>
      </c>
      <c r="Y12" s="47">
        <f>Y10+Y11</f>
        <v>619.64208637600007</v>
      </c>
      <c r="Z12" s="40">
        <f t="shared" ref="Z12:AI12" si="22">Z10+Z11</f>
        <v>992.54986062399985</v>
      </c>
      <c r="AA12" s="40">
        <f t="shared" si="22"/>
        <v>1428.2340574543998</v>
      </c>
      <c r="AB12" s="40">
        <f t="shared" si="22"/>
        <v>1970.9629992870719</v>
      </c>
      <c r="AC12" s="40">
        <f t="shared" si="22"/>
        <v>2680.5096790304178</v>
      </c>
      <c r="AD12" s="40">
        <f t="shared" si="22"/>
        <v>3645.4931634813674</v>
      </c>
      <c r="AE12" s="40">
        <f t="shared" si="22"/>
        <v>4921.4157706998467</v>
      </c>
      <c r="AF12" s="40">
        <f t="shared" si="22"/>
        <v>6425.8994351389756</v>
      </c>
      <c r="AG12" s="40">
        <f t="shared" si="22"/>
        <v>8674.9642374376162</v>
      </c>
      <c r="AH12" s="40">
        <f t="shared" si="22"/>
        <v>11711.201720540785</v>
      </c>
      <c r="AI12" s="40">
        <f t="shared" si="22"/>
        <v>15810.122322730062</v>
      </c>
    </row>
    <row r="13" spans="2:35" s="2" customFormat="1" x14ac:dyDescent="0.15">
      <c r="B13" s="2" t="s">
        <v>73</v>
      </c>
      <c r="J13" s="39">
        <v>5.7750000000000004</v>
      </c>
      <c r="K13" s="39">
        <f t="shared" ref="K13:P13" si="23">K9-K12</f>
        <v>-50.262</v>
      </c>
      <c r="L13" s="39">
        <f t="shared" si="23"/>
        <v>-93.685000000000031</v>
      </c>
      <c r="M13" s="39">
        <f t="shared" si="23"/>
        <v>2.8900000000000148</v>
      </c>
      <c r="N13" s="39">
        <f t="shared" si="23"/>
        <v>-27.066000000000031</v>
      </c>
      <c r="O13" s="39">
        <f t="shared" si="23"/>
        <v>17.19399999999996</v>
      </c>
      <c r="P13" s="39">
        <f t="shared" si="23"/>
        <v>21.41100000000003</v>
      </c>
      <c r="Q13" s="39">
        <f t="shared" ref="Q13:R13" si="24">Q9-Q12</f>
        <v>32.106999999999999</v>
      </c>
      <c r="R13" s="73">
        <f t="shared" si="24"/>
        <v>44.497428024000016</v>
      </c>
      <c r="U13" s="39">
        <f t="shared" ref="U13:V13" si="25">U9-U12</f>
        <v>24.84099999999998</v>
      </c>
      <c r="V13" s="39">
        <f t="shared" si="25"/>
        <v>-6.3939999999999486</v>
      </c>
      <c r="W13" s="39">
        <f t="shared" ref="W13" si="26">W9-W12</f>
        <v>-14.150000000000091</v>
      </c>
      <c r="X13" s="39">
        <f>X9-X12</f>
        <v>-168.12300000000005</v>
      </c>
      <c r="Y13" s="73">
        <f>Y9-Y12</f>
        <v>115.20942802399998</v>
      </c>
      <c r="Z13" s="39">
        <f>Z9-Z12</f>
        <v>45.191983535999952</v>
      </c>
      <c r="AA13" s="39">
        <f t="shared" ref="AA13:AI13" si="27">AA9-AA12</f>
        <v>48.037404721600069</v>
      </c>
      <c r="AB13" s="39">
        <f t="shared" si="27"/>
        <v>66.291618515807841</v>
      </c>
      <c r="AC13" s="39">
        <f t="shared" si="27"/>
        <v>90.156601181498445</v>
      </c>
      <c r="AD13" s="39">
        <f t="shared" si="27"/>
        <v>122.61297760683874</v>
      </c>
      <c r="AE13" s="39">
        <f t="shared" si="27"/>
        <v>165.52751976923173</v>
      </c>
      <c r="AF13" s="39">
        <f t="shared" si="27"/>
        <v>441.4740069942809</v>
      </c>
      <c r="AG13" s="39">
        <f t="shared" si="27"/>
        <v>595.9899094422799</v>
      </c>
      <c r="AH13" s="39">
        <f t="shared" si="27"/>
        <v>804.58637774707677</v>
      </c>
      <c r="AI13" s="39">
        <f t="shared" si="27"/>
        <v>1086.1916099585542</v>
      </c>
    </row>
    <row r="14" spans="2:35" x14ac:dyDescent="0.15">
      <c r="B14" s="1" t="s">
        <v>74</v>
      </c>
      <c r="J14" s="40">
        <v>3.2650000000000001</v>
      </c>
      <c r="K14" s="40">
        <v>0.58499999999999996</v>
      </c>
      <c r="L14" s="1">
        <v>41.841000000000001</v>
      </c>
      <c r="M14" s="1">
        <v>-5.53</v>
      </c>
      <c r="N14" s="40">
        <v>-10.148</v>
      </c>
      <c r="O14" s="40">
        <v>55.298999999999999</v>
      </c>
      <c r="P14" s="40">
        <v>47.026000000000003</v>
      </c>
      <c r="Q14" s="64">
        <v>-11.249000000000001</v>
      </c>
      <c r="R14" s="47">
        <f>AVERAGE(N14:Q14)</f>
        <v>20.231999999999999</v>
      </c>
      <c r="U14" s="40">
        <v>3.2629999999999999</v>
      </c>
      <c r="V14" s="40">
        <v>8.4640000000000004</v>
      </c>
      <c r="W14" s="40">
        <v>7.859</v>
      </c>
      <c r="X14" s="40">
        <f t="shared" si="16"/>
        <v>26.748000000000001</v>
      </c>
      <c r="Y14" s="47">
        <f>SUM(O14:R14)</f>
        <v>111.30800000000001</v>
      </c>
      <c r="Z14" s="40">
        <f>AVERAGE(X14:Y14)</f>
        <v>69.028000000000006</v>
      </c>
      <c r="AA14" s="40">
        <f t="shared" ref="AA14:AI14" si="28">AVERAGE(Y14:Z14)</f>
        <v>90.168000000000006</v>
      </c>
      <c r="AB14" s="40">
        <f t="shared" si="28"/>
        <v>79.598000000000013</v>
      </c>
      <c r="AC14" s="40">
        <f t="shared" si="28"/>
        <v>84.88300000000001</v>
      </c>
      <c r="AD14" s="40">
        <f t="shared" si="28"/>
        <v>82.240500000000011</v>
      </c>
      <c r="AE14" s="40">
        <f t="shared" si="28"/>
        <v>83.561750000000018</v>
      </c>
      <c r="AF14" s="40">
        <f t="shared" si="28"/>
        <v>82.901125000000008</v>
      </c>
      <c r="AG14" s="40">
        <f t="shared" si="28"/>
        <v>83.231437500000013</v>
      </c>
      <c r="AH14" s="40">
        <f t="shared" si="28"/>
        <v>83.066281250000003</v>
      </c>
      <c r="AI14" s="40">
        <f t="shared" si="28"/>
        <v>83.148859375000001</v>
      </c>
    </row>
    <row r="15" spans="2:35" x14ac:dyDescent="0.15">
      <c r="B15" s="1" t="s">
        <v>75</v>
      </c>
      <c r="J15" s="40">
        <f t="shared" ref="J15:Q15" si="29">J13+J14</f>
        <v>9.0400000000000009</v>
      </c>
      <c r="K15" s="40">
        <f t="shared" si="29"/>
        <v>-49.677</v>
      </c>
      <c r="L15" s="40">
        <f t="shared" si="29"/>
        <v>-51.84400000000003</v>
      </c>
      <c r="M15" s="40">
        <f t="shared" si="29"/>
        <v>-2.6399999999999855</v>
      </c>
      <c r="N15" s="40">
        <f t="shared" si="29"/>
        <v>-37.214000000000027</v>
      </c>
      <c r="O15" s="40">
        <f t="shared" si="29"/>
        <v>72.492999999999967</v>
      </c>
      <c r="P15" s="40">
        <f t="shared" si="29"/>
        <v>68.43700000000004</v>
      </c>
      <c r="Q15" s="40">
        <f t="shared" si="29"/>
        <v>20.857999999999997</v>
      </c>
      <c r="R15" s="47">
        <f>R13+R14</f>
        <v>64.729428024000015</v>
      </c>
      <c r="U15" s="40">
        <f t="shared" ref="U15:W15" si="30">U13+U14</f>
        <v>28.103999999999978</v>
      </c>
      <c r="V15" s="40">
        <f t="shared" si="30"/>
        <v>2.0700000000000518</v>
      </c>
      <c r="W15" s="40">
        <f t="shared" si="30"/>
        <v>-6.291000000000091</v>
      </c>
      <c r="X15" s="40">
        <f>X13+X14</f>
        <v>-141.37500000000006</v>
      </c>
      <c r="Y15" s="47">
        <f>Y13+Y14</f>
        <v>226.51742802399997</v>
      </c>
      <c r="Z15" s="40">
        <f>Z13+Z14</f>
        <v>114.21998353599996</v>
      </c>
      <c r="AA15" s="40">
        <f t="shared" ref="AA15:AI15" si="31">AA13+AA14</f>
        <v>138.20540472160008</v>
      </c>
      <c r="AB15" s="40">
        <f t="shared" si="31"/>
        <v>145.88961851580785</v>
      </c>
      <c r="AC15" s="40">
        <f t="shared" si="31"/>
        <v>175.03960118149845</v>
      </c>
      <c r="AD15" s="40">
        <f t="shared" si="31"/>
        <v>204.85347760683874</v>
      </c>
      <c r="AE15" s="40">
        <f t="shared" si="31"/>
        <v>249.08926976923175</v>
      </c>
      <c r="AF15" s="40">
        <f t="shared" si="31"/>
        <v>524.37513199428088</v>
      </c>
      <c r="AG15" s="40">
        <f t="shared" si="31"/>
        <v>679.22134694227987</v>
      </c>
      <c r="AH15" s="40">
        <f t="shared" si="31"/>
        <v>887.65265899707674</v>
      </c>
      <c r="AI15" s="40">
        <f t="shared" si="31"/>
        <v>1169.3404693335542</v>
      </c>
    </row>
    <row r="16" spans="2:35" x14ac:dyDescent="0.15">
      <c r="B16" s="1" t="s">
        <v>76</v>
      </c>
      <c r="J16" s="40">
        <v>-16.794</v>
      </c>
      <c r="K16" s="40">
        <v>-1.76</v>
      </c>
      <c r="L16" s="40">
        <v>-4.7270000000000003</v>
      </c>
      <c r="M16" s="40">
        <v>-51.164000000000001</v>
      </c>
      <c r="N16" s="40">
        <v>-23.706</v>
      </c>
      <c r="O16" s="40">
        <v>17.661999999999999</v>
      </c>
      <c r="P16" s="40">
        <v>17.475000000000001</v>
      </c>
      <c r="Q16" s="64">
        <v>8.7270000000000003</v>
      </c>
      <c r="R16" s="47">
        <f>R13*R31</f>
        <v>18.243945489840005</v>
      </c>
      <c r="U16" s="40">
        <v>-1.101</v>
      </c>
      <c r="V16" s="40">
        <v>1.1879999999999999</v>
      </c>
      <c r="W16" s="40">
        <v>-4.5670000000000002</v>
      </c>
      <c r="X16" s="40">
        <f t="shared" si="16"/>
        <v>-81.356999999999999</v>
      </c>
      <c r="Y16" s="47">
        <f>SUM(O16:R16)</f>
        <v>62.107945489840006</v>
      </c>
      <c r="Z16" s="40">
        <f>Z15*Z31</f>
        <v>46.830193249759979</v>
      </c>
      <c r="AA16" s="40">
        <f t="shared" ref="AA16:AI16" si="32">AA15*AA31</f>
        <v>58.04626998307203</v>
      </c>
      <c r="AB16" s="40">
        <f t="shared" si="32"/>
        <v>62.732535961797375</v>
      </c>
      <c r="AC16" s="40">
        <f t="shared" si="32"/>
        <v>84.019008567119258</v>
      </c>
      <c r="AD16" s="40">
        <f t="shared" si="32"/>
        <v>98.329669251282596</v>
      </c>
      <c r="AE16" s="40">
        <f t="shared" si="32"/>
        <v>139.4899910707698</v>
      </c>
      <c r="AF16" s="40">
        <f t="shared" si="32"/>
        <v>298.8938252367401</v>
      </c>
      <c r="AG16" s="40">
        <f t="shared" si="32"/>
        <v>393.94838122652232</v>
      </c>
      <c r="AH16" s="40">
        <f t="shared" si="32"/>
        <v>523.7150688082753</v>
      </c>
      <c r="AI16" s="40">
        <f t="shared" si="32"/>
        <v>526.20321120009942</v>
      </c>
    </row>
    <row r="17" spans="2:73" s="2" customFormat="1" x14ac:dyDescent="0.15">
      <c r="B17" s="2" t="s">
        <v>77</v>
      </c>
      <c r="J17" s="39">
        <f t="shared" ref="J17:Q17" si="33">J15-J16</f>
        <v>25.834000000000003</v>
      </c>
      <c r="K17" s="39">
        <f t="shared" si="33"/>
        <v>-47.917000000000002</v>
      </c>
      <c r="L17" s="39">
        <f t="shared" si="33"/>
        <v>-47.117000000000033</v>
      </c>
      <c r="M17" s="39">
        <f t="shared" si="33"/>
        <v>48.524000000000015</v>
      </c>
      <c r="N17" s="39">
        <f t="shared" si="33"/>
        <v>-13.508000000000028</v>
      </c>
      <c r="O17" s="39">
        <f t="shared" si="33"/>
        <v>54.830999999999968</v>
      </c>
      <c r="P17" s="39">
        <f t="shared" si="33"/>
        <v>50.962000000000039</v>
      </c>
      <c r="Q17" s="39">
        <f t="shared" si="33"/>
        <v>12.130999999999997</v>
      </c>
      <c r="R17" s="73">
        <f>R15-R16</f>
        <v>46.485482534160013</v>
      </c>
      <c r="U17" s="39">
        <f t="shared" ref="U17:W17" si="34">U15-U16</f>
        <v>29.204999999999977</v>
      </c>
      <c r="V17" s="39">
        <f t="shared" si="34"/>
        <v>0.88200000000005185</v>
      </c>
      <c r="W17" s="39">
        <f t="shared" si="34"/>
        <v>-1.7240000000000908</v>
      </c>
      <c r="X17" s="39">
        <f>X15-X16</f>
        <v>-60.018000000000058</v>
      </c>
      <c r="Y17" s="73">
        <f>Y15-Y16</f>
        <v>164.40948253415996</v>
      </c>
      <c r="Z17" s="39">
        <f>Z15-Z16</f>
        <v>67.389790286239986</v>
      </c>
      <c r="AA17" s="39">
        <f t="shared" ref="AA17:AI17" si="35">AA15-AA16</f>
        <v>80.159134738528053</v>
      </c>
      <c r="AB17" s="39">
        <f t="shared" si="35"/>
        <v>83.157082554010486</v>
      </c>
      <c r="AC17" s="39">
        <f t="shared" si="35"/>
        <v>91.020592614379197</v>
      </c>
      <c r="AD17" s="39">
        <f t="shared" si="35"/>
        <v>106.52380835555614</v>
      </c>
      <c r="AE17" s="39">
        <f t="shared" si="35"/>
        <v>109.59927869846194</v>
      </c>
      <c r="AF17" s="39">
        <f t="shared" si="35"/>
        <v>225.48130675754078</v>
      </c>
      <c r="AG17" s="39">
        <f t="shared" si="35"/>
        <v>285.27296571575755</v>
      </c>
      <c r="AH17" s="39">
        <f t="shared" si="35"/>
        <v>363.93759018880144</v>
      </c>
      <c r="AI17" s="39">
        <f t="shared" si="35"/>
        <v>643.13725813345479</v>
      </c>
      <c r="AJ17" s="39">
        <f>AI17*(1+$AL$21)</f>
        <v>675.29412104012761</v>
      </c>
      <c r="AK17" s="39">
        <f t="shared" ref="AK17:BU17" si="36">AJ17*(1+$AL$21)</f>
        <v>709.05882709213404</v>
      </c>
      <c r="AL17" s="39">
        <f t="shared" si="36"/>
        <v>744.5117684467408</v>
      </c>
      <c r="AM17" s="39">
        <f t="shared" si="36"/>
        <v>781.73735686907787</v>
      </c>
      <c r="AN17" s="39">
        <f t="shared" si="36"/>
        <v>820.82422471253176</v>
      </c>
      <c r="AO17" s="39">
        <f t="shared" si="36"/>
        <v>861.86543594815839</v>
      </c>
      <c r="AP17" s="39">
        <f t="shared" si="36"/>
        <v>904.95870774556636</v>
      </c>
      <c r="AQ17" s="39">
        <f t="shared" si="36"/>
        <v>950.20664313284476</v>
      </c>
      <c r="AR17" s="39">
        <f t="shared" si="36"/>
        <v>997.7169752894871</v>
      </c>
      <c r="AS17" s="39">
        <f t="shared" si="36"/>
        <v>1047.6028240539615</v>
      </c>
      <c r="AT17" s="39">
        <f t="shared" si="36"/>
        <v>1099.9829652566596</v>
      </c>
      <c r="AU17" s="39">
        <f t="shared" si="36"/>
        <v>1154.9821135194925</v>
      </c>
      <c r="AV17" s="39">
        <f t="shared" si="36"/>
        <v>1212.7312191954672</v>
      </c>
      <c r="AW17" s="39">
        <f t="shared" si="36"/>
        <v>1273.3677801552406</v>
      </c>
      <c r="AX17" s="39">
        <f t="shared" si="36"/>
        <v>1337.0361691630026</v>
      </c>
      <c r="AY17" s="39">
        <f t="shared" si="36"/>
        <v>1403.8879776211527</v>
      </c>
      <c r="AZ17" s="39">
        <f t="shared" si="36"/>
        <v>1474.0823765022103</v>
      </c>
      <c r="BA17" s="39">
        <f t="shared" si="36"/>
        <v>1547.7864953273208</v>
      </c>
      <c r="BB17" s="39">
        <f t="shared" si="36"/>
        <v>1625.175820093687</v>
      </c>
      <c r="BC17" s="39">
        <f t="shared" si="36"/>
        <v>1706.4346110983713</v>
      </c>
      <c r="BD17" s="39">
        <f t="shared" si="36"/>
        <v>1791.7563416532898</v>
      </c>
      <c r="BE17" s="39">
        <f t="shared" si="36"/>
        <v>1881.3441587359544</v>
      </c>
      <c r="BF17" s="39">
        <f t="shared" si="36"/>
        <v>1975.4113666727521</v>
      </c>
      <c r="BG17" s="39">
        <f t="shared" si="36"/>
        <v>2074.1819350063897</v>
      </c>
      <c r="BH17" s="39">
        <f t="shared" si="36"/>
        <v>2177.8910317567093</v>
      </c>
      <c r="BI17" s="39">
        <f t="shared" si="36"/>
        <v>2286.7855833445446</v>
      </c>
      <c r="BJ17" s="39">
        <f t="shared" si="36"/>
        <v>2401.1248625117719</v>
      </c>
      <c r="BK17" s="39">
        <f t="shared" si="36"/>
        <v>2521.1811056373604</v>
      </c>
      <c r="BL17" s="39">
        <f t="shared" si="36"/>
        <v>2647.2401609192284</v>
      </c>
      <c r="BM17" s="39">
        <f t="shared" si="36"/>
        <v>2779.6021689651898</v>
      </c>
      <c r="BN17" s="39">
        <f t="shared" si="36"/>
        <v>2918.5822774134494</v>
      </c>
      <c r="BO17" s="39">
        <f t="shared" si="36"/>
        <v>3064.5113912841221</v>
      </c>
      <c r="BP17" s="39">
        <f t="shared" si="36"/>
        <v>3217.7369608483282</v>
      </c>
      <c r="BQ17" s="39">
        <f t="shared" si="36"/>
        <v>3378.6238088907448</v>
      </c>
      <c r="BR17" s="39">
        <f t="shared" si="36"/>
        <v>3547.5549993352824</v>
      </c>
      <c r="BS17" s="39">
        <f t="shared" si="36"/>
        <v>3724.9327493020469</v>
      </c>
      <c r="BT17" s="39">
        <f t="shared" si="36"/>
        <v>3911.1793867671495</v>
      </c>
      <c r="BU17" s="39">
        <f t="shared" si="36"/>
        <v>4106.7383561055067</v>
      </c>
    </row>
    <row r="18" spans="2:73" x14ac:dyDescent="0.15">
      <c r="B18" s="1" t="s">
        <v>78</v>
      </c>
      <c r="J18" s="43">
        <f t="shared" ref="J18:Q18" si="37">J17/J19</f>
        <v>0.40594603937836865</v>
      </c>
      <c r="K18" s="43">
        <f t="shared" si="37"/>
        <v>-0.74828221625335745</v>
      </c>
      <c r="L18" s="43">
        <f t="shared" si="37"/>
        <v>-0.72303041463339834</v>
      </c>
      <c r="M18" s="43">
        <f t="shared" si="37"/>
        <v>0.73307952622673467</v>
      </c>
      <c r="N18" s="43">
        <f t="shared" si="37"/>
        <v>-0.19489251190304469</v>
      </c>
      <c r="O18" s="43">
        <f t="shared" si="37"/>
        <v>0.77281183932346675</v>
      </c>
      <c r="P18" s="43">
        <f t="shared" si="37"/>
        <v>0.71737049549549603</v>
      </c>
      <c r="Q18" s="43">
        <f t="shared" si="37"/>
        <v>0.17060205043104049</v>
      </c>
      <c r="R18" s="71">
        <f>R17/R19</f>
        <v>0.65373989247415887</v>
      </c>
      <c r="U18" s="43">
        <f t="shared" ref="U18:W18" si="38">U17/U19</f>
        <v>0.51789260888069188</v>
      </c>
      <c r="V18" s="43">
        <f t="shared" si="38"/>
        <v>1.4901165737456527E-2</v>
      </c>
      <c r="W18" s="43">
        <f t="shared" si="38"/>
        <v>-2.6657145550691104E-2</v>
      </c>
      <c r="X18" s="43">
        <f>X17/X19</f>
        <v>-0.86593565142115214</v>
      </c>
      <c r="Y18" s="75">
        <f>Y17/Y19</f>
        <v>2.3121420188470889</v>
      </c>
    </row>
    <row r="19" spans="2:73" x14ac:dyDescent="0.15">
      <c r="B19" s="1" t="s">
        <v>3</v>
      </c>
      <c r="C19" s="40"/>
      <c r="D19" s="40"/>
      <c r="E19" s="40"/>
      <c r="F19" s="40"/>
      <c r="G19" s="40"/>
      <c r="H19" s="40"/>
      <c r="I19" s="40"/>
      <c r="J19" s="40">
        <v>63.639000000000003</v>
      </c>
      <c r="K19" s="40">
        <v>64.036000000000001</v>
      </c>
      <c r="L19" s="40">
        <v>65.165999999999997</v>
      </c>
      <c r="M19" s="40">
        <v>66.191999999999993</v>
      </c>
      <c r="N19" s="40">
        <v>69.31</v>
      </c>
      <c r="O19" s="40">
        <v>70.95</v>
      </c>
      <c r="P19" s="40">
        <v>71.040000000000006</v>
      </c>
      <c r="Q19" s="64">
        <v>71.106999999999999</v>
      </c>
      <c r="R19" s="47">
        <f>Q19</f>
        <v>71.106999999999999</v>
      </c>
      <c r="U19" s="40">
        <v>56.392000000000003</v>
      </c>
      <c r="V19" s="40">
        <v>59.19</v>
      </c>
      <c r="W19" s="40">
        <v>64.673090999999999</v>
      </c>
      <c r="X19" s="40">
        <f>N19</f>
        <v>69.31</v>
      </c>
      <c r="Y19" s="47">
        <f>Q19</f>
        <v>71.106999999999999</v>
      </c>
    </row>
    <row r="21" spans="2:73" s="2" customFormat="1" x14ac:dyDescent="0.15">
      <c r="B21" s="2" t="s">
        <v>79</v>
      </c>
      <c r="M21" s="42"/>
      <c r="N21" s="42">
        <f>N5/J5-1</f>
        <v>-3.786150172459557E-2</v>
      </c>
      <c r="O21" s="42">
        <f t="shared" ref="O21" si="39">O5/K5-1</f>
        <v>0.31487701198344764</v>
      </c>
      <c r="P21" s="42">
        <f>P5/L5-1</f>
        <v>0.30539089101670513</v>
      </c>
      <c r="Q21" s="42">
        <f t="shared" ref="Q21" si="40">Q5/M5-1</f>
        <v>0.34383095750229553</v>
      </c>
      <c r="R21" s="70"/>
      <c r="U21" s="34" t="s">
        <v>151</v>
      </c>
      <c r="V21" s="42">
        <f t="shared" ref="V21:W21" si="41">V5/U5-1</f>
        <v>0.26374777416989637</v>
      </c>
      <c r="W21" s="42">
        <f t="shared" ref="V21:X21" si="42">W5/V5-1</f>
        <v>0.28282974795614657</v>
      </c>
      <c r="X21" s="42">
        <f>X5/W5-1</f>
        <v>0.26780792448785107</v>
      </c>
      <c r="Y21" s="74">
        <f>Y5/X5-1</f>
        <v>0.38473642574946632</v>
      </c>
      <c r="Z21" s="42">
        <v>0.4</v>
      </c>
      <c r="AA21" s="42">
        <v>0.4</v>
      </c>
      <c r="AB21" s="42">
        <v>0.38</v>
      </c>
      <c r="AC21" s="42">
        <v>0.36</v>
      </c>
      <c r="AD21" s="42">
        <v>0.36</v>
      </c>
      <c r="AE21" s="42">
        <v>0.35</v>
      </c>
      <c r="AF21" s="42">
        <v>0.35</v>
      </c>
      <c r="AG21" s="42">
        <v>0.35</v>
      </c>
      <c r="AH21" s="42">
        <v>0.35</v>
      </c>
      <c r="AI21" s="42">
        <v>0.35</v>
      </c>
      <c r="AK21" s="92" t="s">
        <v>168</v>
      </c>
      <c r="AL21" s="93">
        <v>0.05</v>
      </c>
    </row>
    <row r="22" spans="2:73" s="35" customFormat="1" x14ac:dyDescent="0.15">
      <c r="B22" s="36" t="s">
        <v>92</v>
      </c>
      <c r="M22" s="44"/>
      <c r="N22" s="44">
        <f>N3/J3-1</f>
        <v>-0.16487284339176189</v>
      </c>
      <c r="O22" s="44">
        <f t="shared" ref="O22:O23" si="43">O3/K3-1</f>
        <v>0.25068495095325316</v>
      </c>
      <c r="P22" s="44">
        <f>P3/L3-1</f>
        <v>0.27887768735576346</v>
      </c>
      <c r="Q22" s="44">
        <f t="shared" ref="Q22:Q23" si="44">Q3/M3-1</f>
        <v>0.26896377025747431</v>
      </c>
      <c r="R22" s="48"/>
      <c r="U22" s="23" t="s">
        <v>151</v>
      </c>
      <c r="V22" s="44">
        <f t="shared" ref="V22:W22" si="45">V3/U3-1</f>
        <v>0.21926534100447137</v>
      </c>
      <c r="W22" s="44">
        <f t="shared" ref="V22:X22" si="46">W3/V3-1</f>
        <v>0.25227173733459507</v>
      </c>
      <c r="X22" s="44">
        <f>X3/W3-1</f>
        <v>0.21644177911044471</v>
      </c>
      <c r="Y22" s="48"/>
      <c r="AK22" s="94" t="s">
        <v>169</v>
      </c>
      <c r="AL22" s="95">
        <v>0.06</v>
      </c>
    </row>
    <row r="23" spans="2:73" s="35" customFormat="1" x14ac:dyDescent="0.15">
      <c r="B23" s="36" t="s">
        <v>93</v>
      </c>
      <c r="M23" s="44"/>
      <c r="N23" s="44">
        <f t="shared" ref="N23:P23" si="47">N4/J4-1</f>
        <v>0.38722512686452393</v>
      </c>
      <c r="O23" s="44">
        <f t="shared" si="43"/>
        <v>0.48194262279940125</v>
      </c>
      <c r="P23" s="44">
        <f t="shared" si="47"/>
        <v>0.3718894304771676</v>
      </c>
      <c r="Q23" s="44">
        <f t="shared" si="44"/>
        <v>0.53138125887649923</v>
      </c>
      <c r="R23" s="48"/>
      <c r="U23" s="23" t="s">
        <v>151</v>
      </c>
      <c r="V23" s="44">
        <f t="shared" ref="V23:W23" si="48">V4/U4-1</f>
        <v>0.42141875737020307</v>
      </c>
      <c r="W23" s="44">
        <f t="shared" ref="V23:X23" si="49">W4/V4-1</f>
        <v>0.37574018540788212</v>
      </c>
      <c r="X23" s="44">
        <f>X4/W4-1</f>
        <v>0.40996829928133982</v>
      </c>
      <c r="Y23" s="48"/>
      <c r="AK23" s="94" t="s">
        <v>170</v>
      </c>
      <c r="AL23" s="96">
        <f>NPV(AL22,Y17:BU17)</f>
        <v>12176.120593498938</v>
      </c>
    </row>
    <row r="24" spans="2:73" s="2" customFormat="1" x14ac:dyDescent="0.15">
      <c r="B24" s="2" t="s">
        <v>80</v>
      </c>
      <c r="K24" s="42">
        <f t="shared" ref="K24:L24" si="50">K5/J5-1</f>
        <v>-0.13761828955514288</v>
      </c>
      <c r="L24" s="42">
        <f t="shared" si="50"/>
        <v>0.12191632610155922</v>
      </c>
      <c r="M24" s="42">
        <f t="shared" ref="M24" si="51">M5/L5-1</f>
        <v>6.0303023378047937E-2</v>
      </c>
      <c r="N24" s="42">
        <f t="shared" ref="N24" si="52">N5/M5-1</f>
        <v>-6.2119324623150396E-2</v>
      </c>
      <c r="O24" s="42">
        <f t="shared" ref="O24" si="53">O5/N5-1</f>
        <v>0.17854746343839922</v>
      </c>
      <c r="P24" s="42">
        <f>P5/O5-1</f>
        <v>0.11382231131008558</v>
      </c>
      <c r="Q24" s="42">
        <f t="shared" ref="Q24" si="54">Q5/P5-1</f>
        <v>9.1525945947838583E-2</v>
      </c>
      <c r="R24" s="70"/>
      <c r="U24" s="34" t="s">
        <v>151</v>
      </c>
      <c r="V24" s="34" t="s">
        <v>151</v>
      </c>
      <c r="W24" s="34" t="s">
        <v>151</v>
      </c>
      <c r="X24" s="34" t="s">
        <v>151</v>
      </c>
      <c r="Y24" s="76" t="s">
        <v>151</v>
      </c>
      <c r="Z24" s="34" t="s">
        <v>151</v>
      </c>
      <c r="AA24" s="34" t="s">
        <v>151</v>
      </c>
      <c r="AB24" s="34" t="s">
        <v>151</v>
      </c>
      <c r="AC24" s="34" t="s">
        <v>151</v>
      </c>
      <c r="AD24" s="34" t="s">
        <v>151</v>
      </c>
      <c r="AE24" s="34" t="s">
        <v>151</v>
      </c>
      <c r="AF24" s="34" t="s">
        <v>151</v>
      </c>
      <c r="AG24" s="34" t="s">
        <v>151</v>
      </c>
      <c r="AH24" s="34" t="s">
        <v>151</v>
      </c>
      <c r="AI24" s="34" t="s">
        <v>151</v>
      </c>
      <c r="AK24" s="94" t="s">
        <v>7</v>
      </c>
      <c r="AL24" s="97">
        <f>Main!C11</f>
        <v>377.61800000000005</v>
      </c>
    </row>
    <row r="25" spans="2:73" s="35" customFormat="1" x14ac:dyDescent="0.15">
      <c r="B25" s="36" t="s">
        <v>90</v>
      </c>
      <c r="K25" s="44">
        <f t="shared" ref="K25:L25" si="55">K3/J3-1</f>
        <v>-0.19084977830871386</v>
      </c>
      <c r="L25" s="44">
        <f t="shared" si="55"/>
        <v>0.1103090441917578</v>
      </c>
      <c r="M25" s="44">
        <f t="shared" ref="M25" si="56">M3/L3-1</f>
        <v>5.9938501665313559E-2</v>
      </c>
      <c r="N25" s="44">
        <f t="shared" ref="N25" si="57">N3/M3-1</f>
        <v>-0.1230013932196643</v>
      </c>
      <c r="O25" s="44">
        <f t="shared" ref="O25" si="58">O3/N3-1</f>
        <v>0.21178193921971822</v>
      </c>
      <c r="P25" s="44">
        <f>P3/O3-1</f>
        <v>0.13533744977412532</v>
      </c>
      <c r="Q25" s="44">
        <f t="shared" ref="Q25:Q26" si="59">Q3/P3-1</f>
        <v>5.1721810938210711E-2</v>
      </c>
      <c r="R25" s="48"/>
      <c r="U25" s="23" t="s">
        <v>151</v>
      </c>
      <c r="V25" s="23" t="s">
        <v>151</v>
      </c>
      <c r="W25" s="23" t="s">
        <v>151</v>
      </c>
      <c r="X25" s="23" t="s">
        <v>151</v>
      </c>
      <c r="Y25" s="76" t="s">
        <v>151</v>
      </c>
      <c r="Z25" s="23" t="s">
        <v>151</v>
      </c>
      <c r="AA25" s="23" t="s">
        <v>151</v>
      </c>
      <c r="AB25" s="23" t="s">
        <v>151</v>
      </c>
      <c r="AC25" s="23" t="s">
        <v>151</v>
      </c>
      <c r="AD25" s="23" t="s">
        <v>151</v>
      </c>
      <c r="AE25" s="23" t="s">
        <v>151</v>
      </c>
      <c r="AF25" s="23" t="s">
        <v>151</v>
      </c>
      <c r="AG25" s="23" t="s">
        <v>151</v>
      </c>
      <c r="AH25" s="23" t="s">
        <v>151</v>
      </c>
      <c r="AI25" s="23" t="s">
        <v>151</v>
      </c>
      <c r="AK25" s="94" t="s">
        <v>171</v>
      </c>
      <c r="AL25" s="97">
        <f>AL23-AL24</f>
        <v>11798.502593498937</v>
      </c>
    </row>
    <row r="26" spans="2:73" s="35" customFormat="1" x14ac:dyDescent="0.15">
      <c r="B26" s="36" t="s">
        <v>91</v>
      </c>
      <c r="K26" s="44">
        <f t="shared" ref="K26:L26" si="60">K4/J4-1</f>
        <v>4.053898200830397E-2</v>
      </c>
      <c r="L26" s="44">
        <f t="shared" si="60"/>
        <v>0.15212532096872522</v>
      </c>
      <c r="M26" s="44">
        <f t="shared" ref="M26" si="61">M4/L4-1</f>
        <v>6.1217290918419875E-2</v>
      </c>
      <c r="N26" s="44">
        <f t="shared" ref="N26" si="62">N4/M4-1</f>
        <v>9.0396760644244845E-2</v>
      </c>
      <c r="O26" s="44">
        <f t="shared" ref="O26" si="63">O4/N4-1</f>
        <v>0.1115853067106376</v>
      </c>
      <c r="P26" s="44">
        <f>P4/O4-1</f>
        <v>6.6565281344269644E-2</v>
      </c>
      <c r="Q26" s="44">
        <f t="shared" si="59"/>
        <v>0.18459129052616818</v>
      </c>
      <c r="R26" s="48"/>
      <c r="U26" s="23" t="s">
        <v>151</v>
      </c>
      <c r="V26" s="23" t="s">
        <v>151</v>
      </c>
      <c r="W26" s="23" t="s">
        <v>151</v>
      </c>
      <c r="X26" s="23" t="s">
        <v>151</v>
      </c>
      <c r="Y26" s="76" t="s">
        <v>151</v>
      </c>
      <c r="Z26" s="23" t="s">
        <v>151</v>
      </c>
      <c r="AA26" s="23" t="s">
        <v>151</v>
      </c>
      <c r="AB26" s="23" t="s">
        <v>151</v>
      </c>
      <c r="AC26" s="23" t="s">
        <v>151</v>
      </c>
      <c r="AD26" s="23" t="s">
        <v>151</v>
      </c>
      <c r="AE26" s="23" t="s">
        <v>151</v>
      </c>
      <c r="AF26" s="23" t="s">
        <v>151</v>
      </c>
      <c r="AG26" s="23" t="s">
        <v>151</v>
      </c>
      <c r="AH26" s="23" t="s">
        <v>151</v>
      </c>
      <c r="AI26" s="23" t="s">
        <v>151</v>
      </c>
      <c r="AK26" s="98" t="s">
        <v>172</v>
      </c>
      <c r="AL26" s="99">
        <f>AL25/Q19</f>
        <v>165.92603531999575</v>
      </c>
    </row>
    <row r="27" spans="2:73" x14ac:dyDescent="0.15">
      <c r="AK27" s="94" t="s">
        <v>173</v>
      </c>
      <c r="AL27" s="97">
        <f>Main!C6</f>
        <v>188.83</v>
      </c>
    </row>
    <row r="28" spans="2:73" x14ac:dyDescent="0.15">
      <c r="B28" s="1" t="s">
        <v>81</v>
      </c>
      <c r="C28" s="41"/>
      <c r="D28" s="41"/>
      <c r="E28" s="41"/>
      <c r="F28" s="41"/>
      <c r="G28" s="41"/>
      <c r="H28" s="41"/>
      <c r="I28" s="41"/>
      <c r="J28" s="41">
        <f t="shared" ref="J28:M28" si="64">J9/J5</f>
        <v>0.62486070575749542</v>
      </c>
      <c r="K28" s="41">
        <f t="shared" ref="K28" si="65">K9/K5</f>
        <v>0.63251785723442333</v>
      </c>
      <c r="L28" s="41">
        <f t="shared" si="64"/>
        <v>0.63040288854864135</v>
      </c>
      <c r="M28" s="41">
        <f t="shared" si="64"/>
        <v>0.62316316721913545</v>
      </c>
      <c r="N28" s="41">
        <f t="shared" ref="N28:O28" si="66">N9/N5</f>
        <v>0.62074750204524354</v>
      </c>
      <c r="O28" s="41">
        <f t="shared" si="66"/>
        <v>0.60734480902872556</v>
      </c>
      <c r="P28" s="41">
        <f t="shared" ref="P28:Q28" si="67">P9/P5</f>
        <v>0.60908642113629285</v>
      </c>
      <c r="Q28" s="41">
        <f t="shared" si="67"/>
        <v>0.61990223060490002</v>
      </c>
      <c r="R28" s="60">
        <v>0.62</v>
      </c>
      <c r="U28" s="41">
        <f t="shared" ref="U28:V28" si="68">U9/U5</f>
        <v>0.61557414513840614</v>
      </c>
      <c r="V28" s="41">
        <f t="shared" ref="V28:X28" si="69">V9/V5</f>
        <v>0.57884564668650873</v>
      </c>
      <c r="W28" s="41">
        <f t="shared" si="69"/>
        <v>0.61134972973687329</v>
      </c>
      <c r="X28" s="41">
        <f t="shared" ref="X28:Y28" si="70">X9/X5</f>
        <v>0.62650208888080705</v>
      </c>
      <c r="Y28" s="60">
        <f t="shared" si="70"/>
        <v>0.61465297760591753</v>
      </c>
      <c r="Z28" s="41">
        <v>0.62</v>
      </c>
      <c r="AA28" s="41">
        <v>0.63</v>
      </c>
      <c r="AB28" s="41">
        <v>0.63</v>
      </c>
      <c r="AC28" s="41">
        <v>0.63</v>
      </c>
      <c r="AD28" s="41">
        <v>0.63</v>
      </c>
      <c r="AE28" s="41">
        <v>0.63</v>
      </c>
      <c r="AF28" s="41">
        <v>0.63</v>
      </c>
      <c r="AG28" s="41">
        <v>0.63</v>
      </c>
      <c r="AH28" s="41">
        <v>0.63</v>
      </c>
      <c r="AI28" s="41">
        <v>0.63</v>
      </c>
      <c r="AK28" s="100" t="s">
        <v>174</v>
      </c>
      <c r="AL28" s="101">
        <f>AL26/AL27-1</f>
        <v>-0.12129409881906617</v>
      </c>
    </row>
    <row r="29" spans="2:73" x14ac:dyDescent="0.15">
      <c r="B29" s="1" t="s">
        <v>82</v>
      </c>
      <c r="J29" s="41">
        <f t="shared" ref="J29:M29" si="71">J13/J5</f>
        <v>2.553727779251791E-2</v>
      </c>
      <c r="K29" s="41">
        <f t="shared" ref="K29" si="72">K13/K5</f>
        <v>-0.2577287341233418</v>
      </c>
      <c r="L29" s="41">
        <f t="shared" si="71"/>
        <v>-0.42818620169565136</v>
      </c>
      <c r="M29" s="41">
        <f t="shared" si="71"/>
        <v>1.2457487208445292E-2</v>
      </c>
      <c r="N29" s="41">
        <f t="shared" ref="N29:O29" si="73">N13/N5</f>
        <v>-0.12439676805559401</v>
      </c>
      <c r="O29" s="41">
        <f t="shared" si="73"/>
        <v>6.7052482977545028E-2</v>
      </c>
      <c r="P29" s="41">
        <f>P13/P5</f>
        <v>7.4965075119129837E-2</v>
      </c>
      <c r="Q29" s="41">
        <f t="shared" ref="Q29:R29" si="74">Q13/Q5</f>
        <v>0.10298825355889579</v>
      </c>
      <c r="R29" s="60">
        <f t="shared" si="74"/>
        <v>0.13020000000000007</v>
      </c>
      <c r="U29" s="41">
        <f t="shared" ref="U29:V29" si="75">U13/U5</f>
        <v>5.9135663749678574E-2</v>
      </c>
      <c r="V29" s="41">
        <f t="shared" ref="V29:X29" si="76">V13/V5</f>
        <v>-1.2044606864333248E-2</v>
      </c>
      <c r="W29" s="41">
        <f t="shared" si="76"/>
        <v>-2.077817572022457E-2</v>
      </c>
      <c r="X29" s="41">
        <f>X13/X5</f>
        <v>-0.19472631433862925</v>
      </c>
      <c r="Y29" s="60">
        <f t="shared" ref="Y29" si="77">Y13/Y5</f>
        <v>9.6364798323978554E-2</v>
      </c>
      <c r="Z29" s="41">
        <f>Z13/Z5</f>
        <v>2.6999999999999975E-2</v>
      </c>
      <c r="AA29" s="41">
        <f t="shared" ref="AA29:AI29" si="78">AA13/AA5</f>
        <v>2.0500000000000032E-2</v>
      </c>
      <c r="AB29" s="41">
        <f t="shared" si="78"/>
        <v>2.0499999999999952E-2</v>
      </c>
      <c r="AC29" s="41">
        <f t="shared" si="78"/>
        <v>2.0499999999999904E-2</v>
      </c>
      <c r="AD29" s="41">
        <f t="shared" si="78"/>
        <v>2.0500000000000049E-2</v>
      </c>
      <c r="AE29" s="41">
        <f t="shared" si="78"/>
        <v>2.0499999999999977E-2</v>
      </c>
      <c r="AF29" s="41">
        <f t="shared" si="78"/>
        <v>4.0500000000000015E-2</v>
      </c>
      <c r="AG29" s="41">
        <f t="shared" si="78"/>
        <v>4.0500000000000057E-2</v>
      </c>
      <c r="AH29" s="41">
        <f t="shared" si="78"/>
        <v>4.0499999999999994E-2</v>
      </c>
      <c r="AI29" s="41">
        <f t="shared" si="78"/>
        <v>4.0500000000000015E-2</v>
      </c>
    </row>
    <row r="30" spans="2:73" x14ac:dyDescent="0.15">
      <c r="B30" s="1" t="s">
        <v>83</v>
      </c>
      <c r="J30" s="41">
        <f t="shared" ref="J30:M30" si="79">J17/J5</f>
        <v>0.11423896701158574</v>
      </c>
      <c r="K30" s="41">
        <f t="shared" ref="K30" si="80">K17/K5</f>
        <v>-0.24570426471266901</v>
      </c>
      <c r="L30" s="41">
        <f t="shared" si="79"/>
        <v>-0.21534769990173466</v>
      </c>
      <c r="M30" s="41">
        <f t="shared" si="79"/>
        <v>0.20916508972408179</v>
      </c>
      <c r="N30" s="41">
        <f t="shared" ref="N30:O30" si="81">N17/N5</f>
        <v>-6.2083482705053032E-2</v>
      </c>
      <c r="O30" s="41">
        <f t="shared" si="81"/>
        <v>0.21382777097486202</v>
      </c>
      <c r="P30" s="41">
        <f>P17/P5</f>
        <v>0.17843025352487471</v>
      </c>
      <c r="Q30" s="41">
        <f t="shared" ref="Q30:R30" si="82">Q17/Q5</f>
        <v>3.8912090943500309E-2</v>
      </c>
      <c r="R30" s="60">
        <f t="shared" si="82"/>
        <v>0.13601707097954571</v>
      </c>
      <c r="U30" s="41">
        <f t="shared" ref="U30:V30" si="83">U17/U5</f>
        <v>6.9524457944904111E-2</v>
      </c>
      <c r="V30" s="41">
        <f t="shared" ref="V30:X30" si="84">V17/V5</f>
        <v>1.661454997551241E-3</v>
      </c>
      <c r="W30" s="41">
        <f t="shared" si="84"/>
        <v>-2.5315600665490328E-3</v>
      </c>
      <c r="X30" s="41">
        <f>X17/X5</f>
        <v>-6.9515080827583717E-2</v>
      </c>
      <c r="Y30" s="60">
        <f t="shared" ref="Y30" si="85">Y17/Y5</f>
        <v>0.13751727526720806</v>
      </c>
      <c r="Z30" s="41">
        <f>Z17/Z5</f>
        <v>4.0262103925556708E-2</v>
      </c>
      <c r="AA30" s="41">
        <f t="shared" ref="AA30:AI30" si="86">AA17/AA5</f>
        <v>3.4207973383727226E-2</v>
      </c>
      <c r="AB30" s="41">
        <f t="shared" si="86"/>
        <v>2.5715470982967552E-2</v>
      </c>
      <c r="AC30" s="41">
        <f t="shared" si="86"/>
        <v>2.0696456212212239E-2</v>
      </c>
      <c r="AD30" s="41">
        <f t="shared" si="86"/>
        <v>1.7810007667305096E-2</v>
      </c>
      <c r="AE30" s="41">
        <f t="shared" si="86"/>
        <v>1.3573484436006754E-2</v>
      </c>
      <c r="AF30" s="41">
        <f t="shared" si="86"/>
        <v>2.0685233510924925E-2</v>
      </c>
      <c r="AG30" s="41">
        <f t="shared" si="86"/>
        <v>1.9385487788375264E-2</v>
      </c>
      <c r="AH30" s="41">
        <f t="shared" si="86"/>
        <v>1.8319316372119636E-2</v>
      </c>
      <c r="AI30" s="41">
        <f t="shared" si="86"/>
        <v>2.3980169535095935E-2</v>
      </c>
    </row>
    <row r="31" spans="2:73" x14ac:dyDescent="0.15">
      <c r="B31" s="1" t="s">
        <v>84</v>
      </c>
      <c r="J31" s="41">
        <f t="shared" ref="J31:M31" si="87">J16/J15</f>
        <v>-1.8577433628318583</v>
      </c>
      <c r="K31" s="41">
        <f t="shared" ref="K31" si="88">K16/K15</f>
        <v>3.5428870503452302E-2</v>
      </c>
      <c r="L31" s="41">
        <f t="shared" si="87"/>
        <v>9.1177378288712238E-2</v>
      </c>
      <c r="M31" s="41">
        <f t="shared" si="87"/>
        <v>19.380303030303139</v>
      </c>
      <c r="N31" s="41">
        <f t="shared" ref="N31:O31" si="89">N16/N15</f>
        <v>0.63701832643628697</v>
      </c>
      <c r="O31" s="41">
        <f t="shared" si="89"/>
        <v>0.24363731670644073</v>
      </c>
      <c r="P31" s="41">
        <f>P16/P15</f>
        <v>0.2553443312827855</v>
      </c>
      <c r="Q31" s="41">
        <f t="shared" ref="Q31" si="90">Q16/Q15</f>
        <v>0.41840061367341075</v>
      </c>
      <c r="R31" s="60">
        <v>0.41</v>
      </c>
      <c r="U31" s="41">
        <f t="shared" ref="U31:V31" si="91">U16/U15</f>
        <v>-3.9175918018787392E-2</v>
      </c>
      <c r="V31" s="41">
        <f t="shared" ref="V31:X31" si="92">V16/V15</f>
        <v>0.57391304347824645</v>
      </c>
      <c r="W31" s="41">
        <f t="shared" si="92"/>
        <v>0.72595771737401593</v>
      </c>
      <c r="X31" s="41">
        <f>X16/X15</f>
        <v>0.57546949602121988</v>
      </c>
      <c r="Y31" s="60">
        <v>0.41</v>
      </c>
      <c r="Z31" s="41">
        <v>0.41</v>
      </c>
      <c r="AA31" s="41">
        <v>0.42</v>
      </c>
      <c r="AB31" s="41">
        <v>0.43</v>
      </c>
      <c r="AC31" s="41">
        <v>0.48</v>
      </c>
      <c r="AD31" s="41">
        <v>0.48</v>
      </c>
      <c r="AE31" s="41">
        <v>0.56000000000000005</v>
      </c>
      <c r="AF31" s="41">
        <v>0.56999999999999995</v>
      </c>
      <c r="AG31" s="41">
        <v>0.57999999999999996</v>
      </c>
      <c r="AH31" s="41">
        <v>0.59</v>
      </c>
      <c r="AI31" s="41">
        <v>0.45</v>
      </c>
    </row>
    <row r="32" spans="2:73" x14ac:dyDescent="0.15">
      <c r="K32" s="41"/>
      <c r="L32" s="41"/>
      <c r="O32" s="41"/>
      <c r="P32" s="41"/>
      <c r="Q32" s="41"/>
      <c r="U32" s="41"/>
      <c r="V32" s="41"/>
      <c r="W32" s="41"/>
      <c r="X32" s="41"/>
    </row>
    <row r="33" spans="2:35" x14ac:dyDescent="0.15">
      <c r="B33" s="1" t="s">
        <v>150</v>
      </c>
      <c r="J33" s="41">
        <f t="shared" ref="J33:O33" si="93">J11/J5</f>
        <v>0.16807287521004688</v>
      </c>
      <c r="K33" s="41">
        <f t="shared" ref="K33" si="94">K11/K5</f>
        <v>0.24109445746311897</v>
      </c>
      <c r="L33" s="41">
        <f t="shared" si="93"/>
        <v>0.24658698781964852</v>
      </c>
      <c r="M33" s="41">
        <f t="shared" si="93"/>
        <v>0.18268969649423031</v>
      </c>
      <c r="N33" s="41">
        <f t="shared" si="93"/>
        <v>0.23290038514923386</v>
      </c>
      <c r="O33" s="41">
        <f t="shared" si="93"/>
        <v>0.1888108070164492</v>
      </c>
      <c r="P33" s="41">
        <f>P11/P5</f>
        <v>0.20148592676103677</v>
      </c>
      <c r="Q33" s="41">
        <f t="shared" ref="Q33" si="95">Q11/Q5</f>
        <v>0.18965915433322428</v>
      </c>
      <c r="R33" s="60">
        <v>0.21</v>
      </c>
      <c r="U33" s="41">
        <f t="shared" ref="U33:V33" si="96">U11/U5</f>
        <v>0.18296085395697839</v>
      </c>
      <c r="V33" s="41">
        <f t="shared" ref="V33:X33" si="97">V11/V5</f>
        <v>0.18973175601853595</v>
      </c>
      <c r="W33" s="41">
        <f t="shared" si="97"/>
        <v>0.18090228677406708</v>
      </c>
      <c r="X33" s="41">
        <f>X11/X5</f>
        <v>0.22472813277104781</v>
      </c>
      <c r="Y33" s="60">
        <f>Y11/Y5</f>
        <v>0.17530553340275937</v>
      </c>
      <c r="Z33" s="41">
        <v>0.19</v>
      </c>
      <c r="AA33" s="41">
        <v>0.2</v>
      </c>
      <c r="AB33" s="41">
        <v>0.2</v>
      </c>
      <c r="AC33" s="41">
        <v>0.2</v>
      </c>
      <c r="AD33" s="41">
        <v>0.2</v>
      </c>
      <c r="AE33" s="41">
        <v>0.2</v>
      </c>
      <c r="AF33" s="41">
        <v>0.18</v>
      </c>
      <c r="AG33" s="41">
        <v>0.18</v>
      </c>
      <c r="AH33" s="41">
        <v>0.18</v>
      </c>
      <c r="AI33" s="41">
        <v>0.18</v>
      </c>
    </row>
    <row r="34" spans="2:35" x14ac:dyDescent="0.15">
      <c r="L34" s="41"/>
      <c r="O34" s="41"/>
      <c r="P34" s="41"/>
    </row>
    <row r="35" spans="2:35" x14ac:dyDescent="0.15">
      <c r="B35" s="50" t="s">
        <v>103</v>
      </c>
      <c r="L35" s="41"/>
      <c r="O35" s="41"/>
      <c r="P35" s="41"/>
    </row>
    <row r="36" spans="2:35" x14ac:dyDescent="0.15">
      <c r="B36" s="1" t="s">
        <v>36</v>
      </c>
      <c r="C36" s="40"/>
      <c r="D36" s="40"/>
      <c r="E36" s="40"/>
      <c r="F36" s="40"/>
      <c r="G36" s="40">
        <v>11.43</v>
      </c>
      <c r="H36" s="40"/>
      <c r="I36" s="40"/>
      <c r="J36" s="40">
        <v>41.098999999999997</v>
      </c>
      <c r="K36" s="40">
        <v>23.36</v>
      </c>
      <c r="L36" s="40">
        <v>17.710999999999999</v>
      </c>
      <c r="M36" s="40"/>
      <c r="N36" s="40">
        <v>12.927</v>
      </c>
      <c r="O36" s="40"/>
      <c r="P36" s="40">
        <v>32.79</v>
      </c>
      <c r="Q36" s="64">
        <v>40.502000000000002</v>
      </c>
    </row>
    <row r="37" spans="2:35" x14ac:dyDescent="0.15">
      <c r="B37" s="1" t="s">
        <v>37</v>
      </c>
      <c r="C37" s="40"/>
      <c r="D37" s="40"/>
      <c r="E37" s="40"/>
      <c r="F37" s="40"/>
      <c r="G37" s="40">
        <v>11.003</v>
      </c>
      <c r="H37" s="40"/>
      <c r="I37" s="40"/>
      <c r="J37" s="40">
        <v>10.611000000000001</v>
      </c>
      <c r="K37" s="40">
        <v>8.2289999999999992</v>
      </c>
      <c r="L37" s="40">
        <v>7.0119999999999996</v>
      </c>
      <c r="M37" s="40"/>
      <c r="N37" s="40">
        <v>8.2460000000000004</v>
      </c>
      <c r="O37" s="40"/>
      <c r="P37" s="40">
        <v>8.8309999999999995</v>
      </c>
      <c r="Q37" s="64">
        <v>6.9560000000000004</v>
      </c>
    </row>
    <row r="38" spans="2:35" x14ac:dyDescent="0.15">
      <c r="B38" s="1" t="s">
        <v>38</v>
      </c>
      <c r="C38" s="40"/>
      <c r="D38" s="40"/>
      <c r="E38" s="40"/>
      <c r="F38" s="40"/>
      <c r="G38" s="40">
        <v>10.478</v>
      </c>
      <c r="H38" s="40"/>
      <c r="I38" s="40"/>
      <c r="J38" s="40">
        <v>9.7509999999999994</v>
      </c>
      <c r="K38" s="40">
        <v>8.8379999999999992</v>
      </c>
      <c r="L38" s="40">
        <v>9.7880000000000003</v>
      </c>
      <c r="M38" s="40"/>
      <c r="N38" s="40">
        <v>14.432</v>
      </c>
      <c r="O38" s="40"/>
      <c r="P38" s="40">
        <v>2.7450000000000001</v>
      </c>
      <c r="Q38" s="64">
        <v>5.12</v>
      </c>
    </row>
    <row r="39" spans="2:35" x14ac:dyDescent="0.15">
      <c r="B39" s="1" t="s">
        <v>39</v>
      </c>
      <c r="C39" s="40"/>
      <c r="D39" s="40"/>
      <c r="E39" s="40"/>
      <c r="F39" s="40"/>
      <c r="G39" s="40">
        <v>3.2610000000000001</v>
      </c>
      <c r="H39" s="40"/>
      <c r="I39" s="40"/>
      <c r="J39" s="40">
        <v>11.657</v>
      </c>
      <c r="K39" s="40">
        <v>8.6859999999999999</v>
      </c>
      <c r="L39" s="40">
        <v>6.3070000000000004</v>
      </c>
      <c r="M39" s="40"/>
      <c r="N39" s="40">
        <v>8.7330000000000005</v>
      </c>
      <c r="O39" s="40"/>
      <c r="P39" s="40">
        <v>5.157</v>
      </c>
      <c r="Q39" s="64">
        <v>7.18</v>
      </c>
    </row>
    <row r="40" spans="2:35" x14ac:dyDescent="0.15">
      <c r="B40" s="1" t="s">
        <v>98</v>
      </c>
      <c r="C40" s="40"/>
      <c r="D40" s="40"/>
      <c r="E40" s="40"/>
      <c r="F40" s="40"/>
      <c r="G40" s="40">
        <v>873.36400000000003</v>
      </c>
      <c r="H40" s="40"/>
      <c r="I40" s="40"/>
      <c r="J40" s="40">
        <v>1272.6790000000001</v>
      </c>
      <c r="K40" s="40">
        <v>1009.76</v>
      </c>
      <c r="L40" s="40">
        <v>1413.329</v>
      </c>
      <c r="M40" s="40"/>
      <c r="N40" s="40">
        <v>1194.867</v>
      </c>
      <c r="O40" s="40"/>
      <c r="P40" s="40">
        <v>1536.3320000000001</v>
      </c>
      <c r="Q40" s="64">
        <v>1327.1690000000001</v>
      </c>
    </row>
    <row r="41" spans="2:35" x14ac:dyDescent="0.15">
      <c r="B41" s="1" t="s">
        <v>99</v>
      </c>
      <c r="C41" s="40"/>
      <c r="D41" s="40"/>
      <c r="E41" s="40"/>
      <c r="F41" s="40"/>
      <c r="G41" s="40">
        <v>39.863999999999997</v>
      </c>
      <c r="H41" s="40"/>
      <c r="I41" s="40"/>
      <c r="J41" s="40">
        <v>44.734999999999999</v>
      </c>
      <c r="K41" s="40">
        <v>46.094000000000001</v>
      </c>
      <c r="L41" s="40">
        <v>45.572000000000003</v>
      </c>
      <c r="M41" s="40"/>
      <c r="N41" s="40">
        <v>31.748999999999999</v>
      </c>
      <c r="O41" s="40"/>
      <c r="P41" s="40">
        <v>59.850999999999999</v>
      </c>
      <c r="Q41" s="64">
        <v>71.069999999999993</v>
      </c>
    </row>
    <row r="42" spans="2:35" x14ac:dyDescent="0.15">
      <c r="B42" s="1" t="s">
        <v>100</v>
      </c>
      <c r="C42" s="40"/>
      <c r="D42" s="40"/>
      <c r="E42" s="40"/>
      <c r="F42" s="40"/>
      <c r="G42" s="40">
        <v>3.0739999999999998</v>
      </c>
      <c r="H42" s="40"/>
      <c r="I42" s="40"/>
      <c r="J42" s="40">
        <v>0.749</v>
      </c>
      <c r="K42" s="40">
        <v>1.5649999999999999</v>
      </c>
      <c r="L42" s="40">
        <v>1.8460000000000001</v>
      </c>
      <c r="M42" s="40"/>
      <c r="N42" s="40">
        <v>1.0269999999999999</v>
      </c>
      <c r="O42" s="40"/>
      <c r="P42" s="40">
        <v>1.1359999999999999</v>
      </c>
      <c r="Q42" s="64">
        <v>1.1879999999999999</v>
      </c>
    </row>
    <row r="43" spans="2:35" x14ac:dyDescent="0.15">
      <c r="B43" s="1" t="s">
        <v>101</v>
      </c>
      <c r="C43" s="40"/>
      <c r="D43" s="40"/>
      <c r="E43" s="40"/>
      <c r="F43" s="40"/>
      <c r="G43" s="40">
        <v>2.6760000000000002</v>
      </c>
      <c r="H43" s="40"/>
      <c r="I43" s="40"/>
      <c r="J43" s="40">
        <v>3.9049999999999998</v>
      </c>
      <c r="K43" s="40">
        <v>1.44</v>
      </c>
      <c r="L43" s="40">
        <v>2.4620000000000002</v>
      </c>
      <c r="M43" s="40"/>
      <c r="N43" s="40">
        <v>4.609</v>
      </c>
      <c r="O43" s="40"/>
      <c r="P43" s="40">
        <v>6.1459999999999999</v>
      </c>
      <c r="Q43" s="64">
        <v>2.3420000000000001</v>
      </c>
    </row>
    <row r="44" spans="2:35" x14ac:dyDescent="0.15">
      <c r="B44" s="1" t="s">
        <v>102</v>
      </c>
      <c r="C44" s="40"/>
      <c r="D44" s="40"/>
      <c r="E44" s="40"/>
      <c r="F44" s="40"/>
      <c r="G44" s="40">
        <v>5.2969999999999997</v>
      </c>
      <c r="H44" s="40"/>
      <c r="I44" s="40"/>
      <c r="J44" s="40">
        <v>6.3259999999999996</v>
      </c>
      <c r="K44" s="40">
        <v>6.7859999999999996</v>
      </c>
      <c r="L44" s="40">
        <v>5.2830000000000004</v>
      </c>
      <c r="M44" s="40"/>
      <c r="N44" s="40">
        <v>4.9589999999999996</v>
      </c>
      <c r="O44" s="40"/>
      <c r="P44" s="40">
        <v>5.3140000000000001</v>
      </c>
      <c r="Q44" s="64">
        <v>3.8220000000000001</v>
      </c>
    </row>
    <row r="45" spans="2:35" x14ac:dyDescent="0.15">
      <c r="L45" s="41"/>
      <c r="O45" s="41"/>
      <c r="P45" s="41"/>
    </row>
    <row r="47" spans="2:35" x14ac:dyDescent="0.15">
      <c r="B47" s="45" t="s">
        <v>94</v>
      </c>
    </row>
    <row r="48" spans="2:35" s="2" customFormat="1" x14ac:dyDescent="0.15">
      <c r="B48" s="2" t="s">
        <v>5</v>
      </c>
      <c r="J48" s="39">
        <v>155.44</v>
      </c>
      <c r="K48" s="39">
        <v>154.88200000000001</v>
      </c>
      <c r="N48" s="39">
        <v>356.33199999999999</v>
      </c>
      <c r="P48" s="39">
        <v>212.815</v>
      </c>
      <c r="Q48" s="63">
        <v>147.71100000000001</v>
      </c>
      <c r="R48" s="70"/>
      <c r="Y48" s="70"/>
    </row>
    <row r="49" spans="2:25" s="2" customFormat="1" x14ac:dyDescent="0.15">
      <c r="B49" s="2" t="s">
        <v>104</v>
      </c>
      <c r="J49" s="39">
        <v>0</v>
      </c>
      <c r="K49" s="39">
        <v>0</v>
      </c>
      <c r="N49" s="39">
        <v>72.180000000000007</v>
      </c>
      <c r="P49" s="39">
        <v>45.9</v>
      </c>
      <c r="Q49" s="63">
        <v>35.28</v>
      </c>
      <c r="R49" s="70"/>
      <c r="Y49" s="70"/>
    </row>
    <row r="50" spans="2:25" s="2" customFormat="1" x14ac:dyDescent="0.15">
      <c r="B50" s="2" t="s">
        <v>105</v>
      </c>
      <c r="J50" s="39">
        <v>406.52499999999998</v>
      </c>
      <c r="K50" s="39">
        <v>440.84199999999998</v>
      </c>
      <c r="N50" s="39">
        <v>14.51</v>
      </c>
      <c r="P50" s="39">
        <v>118.514</v>
      </c>
      <c r="Q50" s="63">
        <v>194.62700000000001</v>
      </c>
      <c r="R50" s="70"/>
      <c r="Y50" s="70"/>
    </row>
    <row r="51" spans="2:25" x14ac:dyDescent="0.15">
      <c r="B51" s="1" t="s">
        <v>106</v>
      </c>
      <c r="J51" s="40">
        <v>229.20099999999999</v>
      </c>
      <c r="K51" s="39">
        <v>185.37299999999999</v>
      </c>
      <c r="N51" s="40">
        <v>320.81900000000002</v>
      </c>
      <c r="P51" s="40">
        <v>379.67200000000003</v>
      </c>
      <c r="Q51" s="64">
        <v>418.30799999999999</v>
      </c>
    </row>
    <row r="52" spans="2:25" x14ac:dyDescent="0.15">
      <c r="B52" s="1" t="s">
        <v>107</v>
      </c>
      <c r="J52" s="40">
        <v>63.945</v>
      </c>
      <c r="K52" s="40">
        <v>72.471999999999994</v>
      </c>
      <c r="N52" s="40">
        <v>180.42099999999999</v>
      </c>
      <c r="P52" s="40">
        <v>196.75399999999999</v>
      </c>
      <c r="Q52" s="64">
        <v>168.673</v>
      </c>
    </row>
    <row r="53" spans="2:25" s="2" customFormat="1" x14ac:dyDescent="0.15">
      <c r="B53" s="2" t="s">
        <v>108</v>
      </c>
      <c r="J53" s="39">
        <v>89.957999999999998</v>
      </c>
      <c r="K53" s="39">
        <v>89.656999999999996</v>
      </c>
      <c r="N53" s="39">
        <v>108.688</v>
      </c>
      <c r="P53" s="39">
        <v>154.297</v>
      </c>
      <c r="Q53" s="63">
        <v>173.04599999999999</v>
      </c>
      <c r="R53" s="70"/>
      <c r="Y53" s="70"/>
    </row>
    <row r="54" spans="2:25" x14ac:dyDescent="0.15">
      <c r="B54" s="1" t="s">
        <v>109</v>
      </c>
      <c r="J54" s="40">
        <v>36.883000000000003</v>
      </c>
      <c r="K54" s="40">
        <v>43.063000000000002</v>
      </c>
      <c r="N54" s="40">
        <v>56.54</v>
      </c>
      <c r="P54" s="40">
        <v>61.838999999999999</v>
      </c>
      <c r="Q54" s="64">
        <v>68.055999999999997</v>
      </c>
    </row>
    <row r="55" spans="2:25" x14ac:dyDescent="0.15">
      <c r="B55" s="1" t="s">
        <v>110</v>
      </c>
      <c r="J55" s="40">
        <f>SUM(J48:J54)</f>
        <v>981.952</v>
      </c>
      <c r="K55" s="40">
        <f>SUM(K48:K54)</f>
        <v>986.28899999999999</v>
      </c>
      <c r="N55" s="40">
        <f>SUM(N48:N54)</f>
        <v>1109.49</v>
      </c>
      <c r="P55" s="40">
        <f>SUM(P48:P54)</f>
        <v>1169.7909999999999</v>
      </c>
      <c r="Q55" s="40">
        <f>SUM(Q48:Q54)</f>
        <v>1205.701</v>
      </c>
    </row>
    <row r="56" spans="2:25" x14ac:dyDescent="0.15">
      <c r="B56" s="1" t="s">
        <v>111</v>
      </c>
      <c r="J56" s="40">
        <v>105.494</v>
      </c>
      <c r="K56" s="40">
        <v>112.119</v>
      </c>
      <c r="N56" s="40">
        <v>138.45699999999999</v>
      </c>
      <c r="P56" s="40">
        <v>157.916</v>
      </c>
      <c r="Q56" s="64">
        <v>164.16</v>
      </c>
    </row>
    <row r="57" spans="2:25" x14ac:dyDescent="0.15">
      <c r="B57" s="1" t="s">
        <v>112</v>
      </c>
      <c r="J57" s="40">
        <v>45.77</v>
      </c>
      <c r="K57" s="40">
        <v>46.402999999999999</v>
      </c>
      <c r="N57" s="40">
        <v>127.193</v>
      </c>
      <c r="P57" s="40">
        <v>100.548</v>
      </c>
      <c r="Q57" s="64">
        <v>96.355000000000004</v>
      </c>
    </row>
    <row r="58" spans="2:25" x14ac:dyDescent="0.15">
      <c r="B58" s="1" t="s">
        <v>113</v>
      </c>
      <c r="J58" s="40">
        <f>9.448+25.205</f>
        <v>34.652999999999999</v>
      </c>
      <c r="K58" s="40">
        <f>8.642+25.194</f>
        <v>33.835999999999999</v>
      </c>
      <c r="N58" s="40">
        <f>15.47+43.592</f>
        <v>59.061999999999998</v>
      </c>
      <c r="P58" s="40">
        <f>13.934+45.004</f>
        <v>58.937999999999995</v>
      </c>
      <c r="Q58" s="64">
        <f>13.039+44.819</f>
        <v>57.858000000000004</v>
      </c>
    </row>
    <row r="59" spans="2:25" s="2" customFormat="1" x14ac:dyDescent="0.15">
      <c r="B59" s="2" t="s">
        <v>114</v>
      </c>
      <c r="J59" s="39">
        <v>90.680999999999997</v>
      </c>
      <c r="K59" s="39">
        <v>78.463999999999999</v>
      </c>
      <c r="N59" s="39">
        <v>31.231999999999999</v>
      </c>
      <c r="P59" s="39">
        <v>24.925000000000001</v>
      </c>
      <c r="Q59" s="63">
        <v>28.536000000000001</v>
      </c>
      <c r="R59" s="70"/>
      <c r="Y59" s="70"/>
    </row>
    <row r="60" spans="2:25" x14ac:dyDescent="0.15">
      <c r="B60" s="1" t="s">
        <v>115</v>
      </c>
      <c r="J60" s="40">
        <v>22.457000000000001</v>
      </c>
      <c r="K60" s="40">
        <v>18.545999999999999</v>
      </c>
      <c r="N60" s="40">
        <v>11.256</v>
      </c>
      <c r="P60" s="40">
        <v>8.9920000000000009</v>
      </c>
      <c r="Q60" s="64">
        <v>8.4619999999999997</v>
      </c>
    </row>
    <row r="61" spans="2:25" x14ac:dyDescent="0.15">
      <c r="B61" s="1" t="s">
        <v>116</v>
      </c>
      <c r="J61" s="40">
        <v>20.099</v>
      </c>
      <c r="K61" s="40">
        <v>26.341000000000001</v>
      </c>
      <c r="N61" s="40">
        <v>29.753</v>
      </c>
      <c r="P61" s="40">
        <v>28.24</v>
      </c>
      <c r="Q61" s="64">
        <v>48.387999999999998</v>
      </c>
    </row>
    <row r="62" spans="2:25" x14ac:dyDescent="0.15">
      <c r="B62" s="1" t="s">
        <v>117</v>
      </c>
      <c r="J62" s="40">
        <v>11.711</v>
      </c>
      <c r="K62" s="40">
        <v>0</v>
      </c>
      <c r="N62" s="40">
        <v>83.52</v>
      </c>
      <c r="P62" s="40">
        <v>281.69099999999997</v>
      </c>
      <c r="Q62" s="64">
        <v>290.32900000000001</v>
      </c>
    </row>
    <row r="63" spans="2:25" x14ac:dyDescent="0.15">
      <c r="B63" s="1" t="s">
        <v>118</v>
      </c>
      <c r="J63" s="40">
        <v>68.206000000000003</v>
      </c>
      <c r="K63" s="40">
        <v>102.92</v>
      </c>
      <c r="N63" s="40">
        <v>98.247</v>
      </c>
      <c r="P63" s="40">
        <v>100.982</v>
      </c>
      <c r="Q63" s="64">
        <v>110.643</v>
      </c>
    </row>
    <row r="64" spans="2:25" x14ac:dyDescent="0.15">
      <c r="B64" s="1" t="s">
        <v>119</v>
      </c>
      <c r="J64" s="40">
        <f>J55+SUM(J56:J63)</f>
        <v>1381.0230000000001</v>
      </c>
      <c r="K64" s="40">
        <f>K55+SUM(K56:K63)</f>
        <v>1404.9180000000001</v>
      </c>
      <c r="N64" s="40">
        <f>N55+SUM(N56:N63)</f>
        <v>1688.21</v>
      </c>
      <c r="P64" s="40">
        <f>P55+SUM(P56:P63)</f>
        <v>1932.0229999999999</v>
      </c>
      <c r="Q64" s="40">
        <f>Q55+SUM(Q56:Q63)</f>
        <v>2010.432</v>
      </c>
    </row>
    <row r="65" spans="2:25" x14ac:dyDescent="0.15">
      <c r="K65" s="40"/>
      <c r="N65" s="40"/>
      <c r="P65" s="52"/>
      <c r="Q65" s="64"/>
    </row>
    <row r="66" spans="2:25" x14ac:dyDescent="0.15">
      <c r="B66" s="1" t="s">
        <v>120</v>
      </c>
      <c r="J66" s="40">
        <v>24.141999999999999</v>
      </c>
      <c r="K66" s="40">
        <v>19.791</v>
      </c>
      <c r="N66" s="40">
        <v>32.22</v>
      </c>
      <c r="P66" s="52">
        <v>60.689</v>
      </c>
      <c r="Q66" s="64">
        <v>50.192999999999998</v>
      </c>
    </row>
    <row r="67" spans="2:25" x14ac:dyDescent="0.15">
      <c r="B67" s="1" t="s">
        <v>121</v>
      </c>
      <c r="J67" s="40">
        <v>59.843000000000004</v>
      </c>
      <c r="K67" s="40">
        <v>41.097000000000001</v>
      </c>
      <c r="N67" s="40">
        <v>103.70699999999999</v>
      </c>
      <c r="P67" s="52">
        <v>100.98</v>
      </c>
      <c r="Q67" s="64">
        <v>112.76600000000001</v>
      </c>
    </row>
    <row r="68" spans="2:25" x14ac:dyDescent="0.15">
      <c r="B68" s="1" t="s">
        <v>125</v>
      </c>
      <c r="J68" s="40">
        <v>163.959</v>
      </c>
      <c r="K68" s="40">
        <v>165.08600000000001</v>
      </c>
      <c r="N68" s="40">
        <v>265.59100000000001</v>
      </c>
      <c r="P68" s="52">
        <v>253.185</v>
      </c>
      <c r="Q68" s="64">
        <v>246.46600000000001</v>
      </c>
    </row>
    <row r="69" spans="2:25" s="2" customFormat="1" x14ac:dyDescent="0.15">
      <c r="B69" s="2" t="s">
        <v>122</v>
      </c>
      <c r="J69" s="39">
        <v>2.956</v>
      </c>
      <c r="K69" s="39">
        <v>8.1340000000000003</v>
      </c>
      <c r="N69" s="39">
        <v>10.462999999999999</v>
      </c>
      <c r="P69" s="51">
        <v>11.33</v>
      </c>
      <c r="Q69" s="63">
        <v>15.317</v>
      </c>
      <c r="R69" s="70"/>
      <c r="Y69" s="70"/>
    </row>
    <row r="70" spans="2:25" x14ac:dyDescent="0.15">
      <c r="B70" s="1" t="s">
        <v>123</v>
      </c>
      <c r="J70" s="40">
        <v>5.431</v>
      </c>
      <c r="K70" s="40">
        <v>5.6669999999999998</v>
      </c>
      <c r="N70" s="40">
        <v>6.54</v>
      </c>
      <c r="P70" s="52">
        <v>6.7869999999999999</v>
      </c>
      <c r="Q70" s="64">
        <v>6.8010000000000002</v>
      </c>
    </row>
    <row r="71" spans="2:25" x14ac:dyDescent="0.15">
      <c r="B71" s="1" t="s">
        <v>124</v>
      </c>
      <c r="J71" s="40">
        <f>SUM(J66:J70)</f>
        <v>256.33100000000002</v>
      </c>
      <c r="K71" s="40">
        <f>SUM(K66:K70)</f>
        <v>239.77500000000001</v>
      </c>
      <c r="N71" s="40">
        <f>SUM(N66:N70)</f>
        <v>418.52100000000007</v>
      </c>
      <c r="P71" s="52">
        <f>SUM(P66:P70)</f>
        <v>432.971</v>
      </c>
      <c r="Q71" s="40">
        <f>SUM(Q66:Q70)</f>
        <v>431.54300000000001</v>
      </c>
    </row>
    <row r="72" spans="2:25" x14ac:dyDescent="0.15">
      <c r="B72" s="1" t="s">
        <v>126</v>
      </c>
      <c r="J72" s="40">
        <v>111.22199999999999</v>
      </c>
      <c r="K72" s="40">
        <v>116.107</v>
      </c>
      <c r="N72" s="40">
        <v>185.721</v>
      </c>
      <c r="P72" s="52">
        <v>269.47699999999998</v>
      </c>
      <c r="Q72" s="64">
        <v>313.82299999999998</v>
      </c>
    </row>
    <row r="73" spans="2:25" x14ac:dyDescent="0.15">
      <c r="B73" s="1" t="s">
        <v>127</v>
      </c>
      <c r="J73" s="40">
        <v>4.5030000000000001</v>
      </c>
      <c r="K73" s="40">
        <v>4.6970000000000001</v>
      </c>
      <c r="N73" s="40">
        <v>3.7970000000000002</v>
      </c>
      <c r="P73" s="52">
        <v>7.6920000000000002</v>
      </c>
      <c r="Q73" s="64">
        <v>7.3170000000000002</v>
      </c>
    </row>
    <row r="74" spans="2:25" x14ac:dyDescent="0.15">
      <c r="B74" s="1" t="s">
        <v>137</v>
      </c>
      <c r="J74" s="40">
        <v>4.7320000000000002</v>
      </c>
      <c r="K74" s="40">
        <v>4.8250000000000002</v>
      </c>
      <c r="N74" s="40">
        <v>5.6790000000000003</v>
      </c>
      <c r="P74" s="52">
        <v>5.5170000000000003</v>
      </c>
      <c r="Q74" s="64">
        <v>5.3689999999999998</v>
      </c>
    </row>
    <row r="75" spans="2:25" x14ac:dyDescent="0.15">
      <c r="B75" s="1" t="s">
        <v>140</v>
      </c>
      <c r="J75" s="40">
        <v>0.64900000000000002</v>
      </c>
      <c r="K75" s="40">
        <v>0.68400000000000005</v>
      </c>
      <c r="N75" s="40">
        <v>0.81100000000000005</v>
      </c>
      <c r="P75" s="52">
        <v>1E-3</v>
      </c>
      <c r="Q75" s="64">
        <v>0.01</v>
      </c>
    </row>
    <row r="76" spans="2:25" x14ac:dyDescent="0.15">
      <c r="B76" s="1" t="s">
        <v>128</v>
      </c>
      <c r="J76" s="40">
        <v>0</v>
      </c>
      <c r="K76" s="40">
        <v>0</v>
      </c>
      <c r="N76" s="40">
        <v>20.440000000000001</v>
      </c>
      <c r="P76" s="52">
        <v>18.21</v>
      </c>
      <c r="Q76" s="64">
        <v>16.311</v>
      </c>
    </row>
    <row r="77" spans="2:25" x14ac:dyDescent="0.15">
      <c r="B77" s="1" t="s">
        <v>129</v>
      </c>
      <c r="J77" s="40">
        <v>27.331</v>
      </c>
      <c r="K77" s="40">
        <v>27.866</v>
      </c>
      <c r="N77" s="40">
        <v>5.9320000000000004</v>
      </c>
      <c r="P77" s="52">
        <v>4.5039999999999996</v>
      </c>
      <c r="Q77" s="64">
        <v>4.7729999999999997</v>
      </c>
    </row>
    <row r="78" spans="2:25" x14ac:dyDescent="0.15">
      <c r="B78" s="1" t="s">
        <v>130</v>
      </c>
      <c r="J78" s="40">
        <f>J71+SUM(J72:J77)</f>
        <v>404.76800000000003</v>
      </c>
      <c r="K78" s="40">
        <f>K71+SUM(K72:K77)</f>
        <v>393.95400000000001</v>
      </c>
      <c r="N78" s="40">
        <f>N71+SUM(N72:N77)</f>
        <v>640.90100000000007</v>
      </c>
      <c r="P78" s="52">
        <f>P71+SUM(P72:P77)</f>
        <v>738.37199999999996</v>
      </c>
      <c r="Q78" s="40">
        <f>Q71+SUM(Q72:Q77)</f>
        <v>779.14599999999996</v>
      </c>
    </row>
    <row r="79" spans="2:25" x14ac:dyDescent="0.15">
      <c r="N79" s="40"/>
    </row>
    <row r="80" spans="2:25" x14ac:dyDescent="0.15">
      <c r="B80" s="1" t="s">
        <v>131</v>
      </c>
      <c r="J80" s="40">
        <v>1381.0229999999999</v>
      </c>
      <c r="K80" s="40">
        <v>1010.904</v>
      </c>
      <c r="N80" s="40">
        <v>1047.8489999999999</v>
      </c>
      <c r="P80" s="40">
        <v>1193.6510000000001</v>
      </c>
      <c r="Q80" s="64">
        <v>1231.3130000000001</v>
      </c>
    </row>
    <row r="81" spans="2:25" x14ac:dyDescent="0.15">
      <c r="B81" s="1" t="s">
        <v>132</v>
      </c>
      <c r="J81" s="40">
        <f>J80+J78</f>
        <v>1785.7909999999999</v>
      </c>
      <c r="K81" s="40">
        <f>K80+K78</f>
        <v>1404.8579999999999</v>
      </c>
      <c r="N81" s="40">
        <f>N80+N78</f>
        <v>1688.75</v>
      </c>
      <c r="P81" s="40">
        <f>P80+P78</f>
        <v>1932.0230000000001</v>
      </c>
      <c r="Q81" s="40">
        <f>Q80+Q78</f>
        <v>2010.4590000000001</v>
      </c>
    </row>
    <row r="82" spans="2:25" x14ac:dyDescent="0.15">
      <c r="N82" s="40"/>
    </row>
    <row r="83" spans="2:25" x14ac:dyDescent="0.15">
      <c r="B83" s="1" t="s">
        <v>133</v>
      </c>
      <c r="J83" s="40">
        <f>J64-J78</f>
        <v>976.25500000000011</v>
      </c>
      <c r="K83" s="40">
        <f>K64-K78</f>
        <v>1010.9640000000002</v>
      </c>
      <c r="N83" s="40">
        <f>N64-N78</f>
        <v>1047.309</v>
      </c>
      <c r="P83" s="40">
        <f>P64-P78</f>
        <v>1193.6509999999998</v>
      </c>
      <c r="Q83" s="40">
        <f t="shared" ref="Q83" si="98">Q64-Q78</f>
        <v>1231.2860000000001</v>
      </c>
    </row>
    <row r="84" spans="2:25" x14ac:dyDescent="0.15">
      <c r="B84" s="1" t="s">
        <v>134</v>
      </c>
      <c r="J84" s="40">
        <f>J83/J19</f>
        <v>15.340514464400762</v>
      </c>
      <c r="K84" s="40">
        <f>K83/K19</f>
        <v>15.78743206946093</v>
      </c>
      <c r="N84" s="40">
        <f>N83/N19</f>
        <v>15.110503534843456</v>
      </c>
      <c r="P84" s="40">
        <f>P83/P19</f>
        <v>16.802519707207203</v>
      </c>
      <c r="Q84" s="40">
        <f t="shared" ref="Q84" si="99">Q83/Q19</f>
        <v>17.315960453963747</v>
      </c>
    </row>
    <row r="86" spans="2:25" x14ac:dyDescent="0.15">
      <c r="B86" s="1" t="s">
        <v>135</v>
      </c>
    </row>
    <row r="87" spans="2:25" s="2" customFormat="1" x14ac:dyDescent="0.15">
      <c r="B87" s="2" t="s">
        <v>136</v>
      </c>
      <c r="K87" s="42">
        <f>K53/J53-1</f>
        <v>-3.3460059138709086E-3</v>
      </c>
      <c r="N87" s="42">
        <f>N53/J53-1</f>
        <v>0.20820827497276517</v>
      </c>
      <c r="Q87" s="66"/>
      <c r="R87" s="70"/>
      <c r="Y87" s="70"/>
    </row>
    <row r="89" spans="2:25" s="35" customFormat="1" x14ac:dyDescent="0.15">
      <c r="B89" s="35" t="s">
        <v>5</v>
      </c>
      <c r="J89" s="38">
        <f>J48+J49+J50</f>
        <v>561.96499999999992</v>
      </c>
      <c r="K89" s="38">
        <f t="shared" ref="K89" si="100">K48+K49+K50</f>
        <v>595.72399999999993</v>
      </c>
      <c r="N89" s="38">
        <f>N48+N49+N50</f>
        <v>443.02199999999999</v>
      </c>
      <c r="P89" s="38">
        <f>P48+P49+P50</f>
        <v>377.22899999999998</v>
      </c>
      <c r="Q89" s="38">
        <f t="shared" ref="Q89" si="101">Q48+Q49+Q50</f>
        <v>377.61800000000005</v>
      </c>
      <c r="R89" s="48"/>
      <c r="Y89" s="48"/>
    </row>
    <row r="90" spans="2:25" s="35" customFormat="1" x14ac:dyDescent="0.15">
      <c r="B90" s="35" t="s">
        <v>6</v>
      </c>
      <c r="J90" s="35">
        <v>0</v>
      </c>
      <c r="K90" s="35">
        <v>0</v>
      </c>
      <c r="N90" s="35">
        <v>0</v>
      </c>
      <c r="P90" s="35">
        <v>0</v>
      </c>
      <c r="Q90" s="35">
        <v>0</v>
      </c>
      <c r="R90" s="48"/>
      <c r="Y90" s="48"/>
    </row>
    <row r="91" spans="2:25" x14ac:dyDescent="0.15">
      <c r="B91" s="1" t="s">
        <v>7</v>
      </c>
      <c r="J91" s="40">
        <f>J89-J90</f>
        <v>561.96499999999992</v>
      </c>
      <c r="K91" s="40">
        <f t="shared" ref="K91" si="102">K89-K90</f>
        <v>595.72399999999993</v>
      </c>
      <c r="N91" s="40">
        <f>N89-N90</f>
        <v>443.02199999999999</v>
      </c>
      <c r="P91" s="40">
        <f>P89-P90</f>
        <v>377.22899999999998</v>
      </c>
      <c r="Q91" s="40">
        <f t="shared" ref="Q91" si="103">Q89-Q90</f>
        <v>377.61800000000005</v>
      </c>
    </row>
    <row r="93" spans="2:25" s="43" customFormat="1" x14ac:dyDescent="0.15">
      <c r="B93" s="43" t="s">
        <v>138</v>
      </c>
      <c r="J93" s="43">
        <v>122.53</v>
      </c>
      <c r="K93" s="43">
        <v>142.41999999999999</v>
      </c>
      <c r="L93" s="43">
        <v>176.8</v>
      </c>
      <c r="M93" s="43">
        <v>175.02</v>
      </c>
      <c r="N93" s="43">
        <v>157</v>
      </c>
      <c r="O93" s="43">
        <v>137.72999999999999</v>
      </c>
      <c r="P93" s="43">
        <v>93.17</v>
      </c>
      <c r="Q93" s="68">
        <v>115.75</v>
      </c>
      <c r="R93" s="71"/>
      <c r="Y93" s="71"/>
    </row>
    <row r="94" spans="2:25" s="40" customFormat="1" x14ac:dyDescent="0.15">
      <c r="B94" s="40" t="s">
        <v>139</v>
      </c>
      <c r="J94" s="40">
        <f t="shared" ref="J94:O94" si="104">J93*J19</f>
        <v>7797.68667</v>
      </c>
      <c r="K94" s="40">
        <f t="shared" ref="K94" si="105">K93*K19</f>
        <v>9120.0071200000002</v>
      </c>
      <c r="L94" s="40">
        <f t="shared" si="104"/>
        <v>11521.3488</v>
      </c>
      <c r="M94" s="40">
        <f t="shared" si="104"/>
        <v>11584.923839999999</v>
      </c>
      <c r="N94" s="40">
        <f t="shared" si="104"/>
        <v>10881.67</v>
      </c>
      <c r="O94" s="40">
        <f t="shared" si="104"/>
        <v>9771.9434999999994</v>
      </c>
      <c r="P94" s="40">
        <f>P93*P19</f>
        <v>6618.796800000001</v>
      </c>
      <c r="Q94" s="40">
        <f t="shared" ref="Q94" si="106">Q93*Q19</f>
        <v>8230.6352499999994</v>
      </c>
      <c r="R94" s="47"/>
      <c r="Y94" s="47"/>
    </row>
    <row r="95" spans="2:25" x14ac:dyDescent="0.15">
      <c r="B95" s="1" t="s">
        <v>8</v>
      </c>
      <c r="J95" s="40">
        <f>J94-J91</f>
        <v>7235.7216699999999</v>
      </c>
      <c r="K95" s="40">
        <f t="shared" ref="K95" si="107">K94-K91</f>
        <v>8524.2831200000001</v>
      </c>
      <c r="N95" s="40">
        <f>N94-N91</f>
        <v>10438.647999999999</v>
      </c>
      <c r="P95" s="40">
        <f>P94-P91</f>
        <v>6241.5678000000007</v>
      </c>
      <c r="Q95" s="40">
        <f t="shared" ref="Q95" si="108">Q94-Q91</f>
        <v>7853.017249999999</v>
      </c>
    </row>
    <row r="97" spans="1:25" x14ac:dyDescent="0.15">
      <c r="A97" s="59">
        <f>AVERAGE(C97:AG97)</f>
        <v>10.162747205497784</v>
      </c>
      <c r="B97" s="1" t="s">
        <v>22</v>
      </c>
      <c r="M97" s="56">
        <f t="shared" ref="M97:O97" si="109">M94/SUM(J5:M5)</f>
        <v>13.2863316065385</v>
      </c>
      <c r="N97" s="56">
        <f t="shared" si="109"/>
        <v>12.603555093290217</v>
      </c>
      <c r="O97" s="56">
        <f t="shared" si="109"/>
        <v>10.566685013213839</v>
      </c>
      <c r="P97" s="56">
        <f>P94/SUM(M5:P5)</f>
        <v>6.6748252834291053</v>
      </c>
      <c r="Q97" s="56">
        <f t="shared" ref="Q97" si="110">Q94/SUM(N5:Q5)</f>
        <v>7.682339031017265</v>
      </c>
    </row>
    <row r="98" spans="1:25" x14ac:dyDescent="0.15">
      <c r="A98" s="59">
        <f>AVERAGE(C98:AG98)</f>
        <v>62.447808359934214</v>
      </c>
      <c r="B98" s="1" t="s">
        <v>24</v>
      </c>
      <c r="M98" s="56"/>
      <c r="N98" s="56"/>
      <c r="O98" s="56"/>
      <c r="P98" s="56">
        <f>P93/SUM(M18:P18)</f>
        <v>45.933448974360083</v>
      </c>
      <c r="Q98" s="56">
        <f>Q93/SUM(N18:Q18)</f>
        <v>78.962167745508339</v>
      </c>
    </row>
    <row r="99" spans="1:25" s="56" customFormat="1" x14ac:dyDescent="0.15">
      <c r="A99" s="59">
        <f>AVERAGE(C99:AG99)</f>
        <v>7.925631151755125</v>
      </c>
      <c r="B99" s="56" t="s">
        <v>23</v>
      </c>
      <c r="J99" s="56">
        <f>J93/J84</f>
        <v>7.9873462056532354</v>
      </c>
      <c r="K99" s="56">
        <f t="shared" ref="K99" si="111">K93/K84</f>
        <v>9.021099781990257</v>
      </c>
      <c r="N99" s="56">
        <f>N93/N84</f>
        <v>10.390123640682932</v>
      </c>
      <c r="P99" s="56">
        <f>P93/P84</f>
        <v>5.545001679720456</v>
      </c>
      <c r="Q99" s="56">
        <f t="shared" ref="Q99" si="112">Q93/Q84</f>
        <v>6.6845844507287495</v>
      </c>
      <c r="R99" s="72"/>
      <c r="Y99" s="72"/>
    </row>
  </sheetData>
  <hyperlinks>
    <hyperlink ref="P1" r:id="rId1" xr:uid="{B1B7DC2C-53DA-4573-8110-6DE14F2EA483}"/>
    <hyperlink ref="N1" r:id="rId2" xr:uid="{4392FA01-21E9-6A40-A134-26B35BE770B8}"/>
    <hyperlink ref="K1" r:id="rId3" xr:uid="{DF1C6BB7-7CFF-5D44-9BEE-5CB961E150F1}"/>
    <hyperlink ref="X1" r:id="rId4" xr:uid="{24C18D69-9B16-5F49-888B-0E1F34CAFFCF}"/>
    <hyperlink ref="Q1" r:id="rId5" xr:uid="{1E775E75-414E-4EF3-BED5-DF18BB35E228}"/>
    <hyperlink ref="W1" r:id="rId6" xr:uid="{0155C928-42DB-9C49-916E-988EB162F485}"/>
  </hyperlinks>
  <pageMargins left="0.7" right="0.7" top="0.75" bottom="0.75" header="0.3" footer="0.3"/>
  <pageSetup paperSize="256" orientation="portrait" horizontalDpi="203" verticalDpi="203" r:id="rId7"/>
  <ignoredErrors>
    <ignoredError sqref="X3:X4 X16 X6:X7 R14 X10:X11 X14" formulaRange="1"/>
  </ignoredErrors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2022-09-02T13:00:55Z</dcterms:created>
  <dcterms:modified xsi:type="dcterms:W3CDTF">2022-12-03T22:47:26Z</dcterms:modified>
</cp:coreProperties>
</file>