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664DF23-D800-475F-811A-F994B90C8FA7}" xr6:coauthVersionLast="36" xr6:coauthVersionMax="47" xr10:uidLastSave="{00000000-0000-0000-0000-000000000000}"/>
  <bookViews>
    <workbookView xWindow="4665" yWindow="495" windowWidth="27645" windowHeight="18855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1" i="1" l="1"/>
  <c r="AI1" i="1" l="1"/>
  <c r="AI15" i="1"/>
  <c r="AJ9" i="1" l="1"/>
  <c r="AK9" i="1"/>
  <c r="AJ23" i="1" l="1"/>
  <c r="AK23" i="1"/>
  <c r="I23" i="1"/>
  <c r="G23" i="1"/>
  <c r="F23" i="1"/>
  <c r="S16" i="1" l="1"/>
  <c r="R16" i="1"/>
  <c r="AF16" i="1"/>
  <c r="AG16" i="1"/>
  <c r="V16" i="1" l="1"/>
  <c r="P16" i="1"/>
  <c r="O16" i="1"/>
  <c r="AE16" i="1"/>
  <c r="Y16" i="1"/>
  <c r="AB12" i="1"/>
  <c r="AB15" i="1"/>
  <c r="AK16" i="1"/>
  <c r="AJ16" i="1"/>
  <c r="K16" i="1"/>
  <c r="J16" i="1"/>
  <c r="F16" i="1"/>
  <c r="AE8" i="1" l="1"/>
  <c r="AF8" i="1" l="1"/>
  <c r="AB8" i="1"/>
  <c r="AA8" i="1"/>
  <c r="Z8" i="1"/>
  <c r="Y8" i="1"/>
  <c r="K8" i="1"/>
  <c r="AF12" i="1" l="1"/>
  <c r="AE12" i="1"/>
  <c r="AD12" i="1"/>
  <c r="AA12" i="1"/>
  <c r="Z12" i="1"/>
  <c r="Y12" i="1"/>
  <c r="K12" i="1"/>
  <c r="K4" i="1" l="1"/>
  <c r="K11" i="1" l="1"/>
  <c r="AG11" i="1"/>
  <c r="AF11" i="1"/>
  <c r="AE11" i="1"/>
  <c r="AD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G8" i="1" l="1"/>
  <c r="AF15" i="1"/>
  <c r="AG15" i="1" l="1"/>
  <c r="K15" i="1" l="1"/>
  <c r="Q3" i="1" l="1"/>
  <c r="AG3" i="1"/>
  <c r="AB3" i="1" l="1"/>
  <c r="AA3" i="1"/>
  <c r="Z3" i="1"/>
  <c r="Y3" i="1"/>
  <c r="AF3" i="1"/>
  <c r="AE3" i="1"/>
  <c r="K3" i="1"/>
  <c r="K13" i="1" l="1"/>
  <c r="AG13" i="1"/>
  <c r="AF13" i="1"/>
  <c r="AF1" i="1" s="1"/>
  <c r="AE13" i="1"/>
  <c r="AB13" i="1"/>
  <c r="AA13" i="1"/>
  <c r="Z13" i="1"/>
  <c r="Y13" i="1"/>
  <c r="F3" i="1" l="1"/>
  <c r="Q6" i="1" l="1"/>
  <c r="P6" i="1"/>
  <c r="O6" i="1"/>
  <c r="X6" i="1"/>
  <c r="W6" i="1"/>
  <c r="V6" i="1"/>
  <c r="K6" i="1" l="1"/>
  <c r="AB6" i="1"/>
  <c r="AA6" i="1"/>
  <c r="Z6" i="1"/>
  <c r="Y6" i="1"/>
  <c r="AG6" i="1"/>
  <c r="AE6" i="1"/>
  <c r="AG5" i="1" l="1"/>
  <c r="AG14" i="1" l="1"/>
  <c r="AG1" i="1" s="1"/>
  <c r="G14" i="1" l="1"/>
  <c r="G13" i="1"/>
  <c r="G12" i="1"/>
  <c r="AD4" i="1"/>
  <c r="AD3" i="1"/>
  <c r="AD10" i="1"/>
  <c r="X13" i="1" l="1"/>
  <c r="W13" i="1"/>
  <c r="Q13" i="1"/>
  <c r="J13" i="1" l="1"/>
  <c r="T13" i="1" l="1"/>
  <c r="AH13" i="1"/>
  <c r="AD13" i="1"/>
  <c r="V13" i="1"/>
  <c r="P13" i="1"/>
  <c r="O13" i="1"/>
  <c r="AJ13" i="1" l="1"/>
  <c r="AK13" i="1"/>
  <c r="F13" i="1"/>
  <c r="H13" i="1"/>
  <c r="I13" i="1" l="1"/>
  <c r="F12" i="1"/>
  <c r="J11" i="1" l="1"/>
  <c r="AJ11" i="1" l="1"/>
  <c r="AK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X3" i="1" l="1"/>
  <c r="W3" i="1"/>
  <c r="R3" i="1"/>
  <c r="V3" i="1"/>
  <c r="L3" i="1"/>
  <c r="T3" i="1" l="1"/>
  <c r="J3" i="1" l="1"/>
  <c r="AJ3" i="1"/>
  <c r="AK3" i="1"/>
  <c r="V14" i="1" l="1"/>
  <c r="AB14" i="1" l="1"/>
  <c r="AA14" i="1"/>
  <c r="Z14" i="1"/>
  <c r="Y14" i="1"/>
  <c r="AD7" i="1"/>
  <c r="AE14" i="1"/>
  <c r="J14" i="1" l="1"/>
  <c r="AH7" i="1"/>
  <c r="AK7" i="1"/>
  <c r="AJ7" i="1"/>
  <c r="I7" i="1" l="1"/>
  <c r="H7" i="1"/>
  <c r="G7" i="1"/>
  <c r="F7" i="1"/>
  <c r="AE4" i="1"/>
  <c r="Z4" i="1" l="1"/>
  <c r="Y4" i="1"/>
  <c r="AB4" i="1" l="1"/>
  <c r="AK14" i="1"/>
  <c r="AJ14" i="1"/>
  <c r="AH14" i="1"/>
  <c r="AD14" i="1"/>
  <c r="AA4" i="1" l="1"/>
  <c r="O12" i="1"/>
  <c r="O10" i="1" l="1"/>
  <c r="O5" i="1" l="1"/>
  <c r="O4" i="1" l="1"/>
  <c r="I14" i="1" l="1"/>
  <c r="H14" i="1"/>
  <c r="F14" i="1"/>
  <c r="V10" i="1"/>
  <c r="R10" i="1" l="1"/>
  <c r="T10" i="1"/>
  <c r="AE10" i="1" l="1"/>
  <c r="AK10" i="1" l="1"/>
  <c r="AH10" i="1"/>
  <c r="AJ10" i="1"/>
  <c r="AB10" i="1"/>
  <c r="AA10" i="1"/>
  <c r="Z10" i="1"/>
  <c r="Y10" i="1"/>
  <c r="J10" i="1"/>
  <c r="F10" i="1" l="1"/>
  <c r="L4" i="1" l="1"/>
  <c r="R4" i="1"/>
  <c r="V4" i="1"/>
  <c r="T4" i="1"/>
  <c r="AH4" i="1" l="1"/>
  <c r="AK4" i="1"/>
  <c r="AJ4" i="1"/>
  <c r="J4" i="1"/>
  <c r="I4" i="1"/>
  <c r="H4" i="1"/>
  <c r="G4" i="1"/>
  <c r="F4" i="1"/>
  <c r="AH5" i="1" l="1"/>
  <c r="AK5" i="1"/>
  <c r="AJ5" i="1"/>
  <c r="AK15" i="1" l="1"/>
  <c r="AJ15" i="1"/>
  <c r="AK8" i="1" l="1"/>
  <c r="AJ8" i="1"/>
  <c r="AK6" i="1" l="1"/>
  <c r="AJ6" i="1"/>
  <c r="AH6" i="1"/>
  <c r="AJ12" i="1" l="1"/>
  <c r="AK12" i="1"/>
  <c r="X12" i="1" l="1"/>
  <c r="X8" i="1"/>
  <c r="W8" i="1"/>
  <c r="V8" i="1"/>
  <c r="X5" i="1"/>
  <c r="W5" i="1"/>
  <c r="V5" i="1"/>
  <c r="AE5" i="1" l="1"/>
  <c r="AH8" i="1" l="1"/>
  <c r="AH15" i="1" l="1"/>
  <c r="AH12" i="1"/>
  <c r="AH1" i="1" l="1"/>
  <c r="W12" i="1"/>
  <c r="V12" i="1"/>
  <c r="H12" i="1" l="1"/>
  <c r="L12" i="1"/>
  <c r="T12" i="1" l="1"/>
  <c r="R12" i="1" l="1"/>
  <c r="S12" i="1" l="1"/>
  <c r="AD5" i="1" l="1"/>
  <c r="AD6" i="1" l="1"/>
  <c r="AD15" i="1"/>
  <c r="J12" i="1"/>
  <c r="I6" i="1"/>
  <c r="H6" i="1"/>
  <c r="S5" i="1" l="1"/>
  <c r="M12" i="1" l="1"/>
  <c r="I12" i="1"/>
  <c r="AA5" i="1"/>
  <c r="T5" i="1" l="1"/>
  <c r="AB5" i="1"/>
  <c r="Y5" i="1"/>
  <c r="R5" i="1"/>
  <c r="Z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8" i="1"/>
  <c r="F27" i="1"/>
  <c r="P10" i="1" s="1"/>
  <c r="J15" i="1"/>
  <c r="F15" i="1"/>
  <c r="G10" i="1" l="1"/>
  <c r="H10" i="1"/>
  <c r="I10" i="1" l="1"/>
  <c r="L10" i="1"/>
  <c r="AE15" i="1" l="1"/>
  <c r="AE1" i="1" s="1"/>
  <c r="U15" i="1"/>
  <c r="Z15" i="1" l="1"/>
  <c r="AA15" i="1" l="1"/>
  <c r="N15" i="1"/>
  <c r="X15" i="1" l="1"/>
  <c r="X1" i="1" s="1"/>
  <c r="W15" i="1"/>
  <c r="W1" i="1" s="1"/>
  <c r="V15" i="1"/>
  <c r="V1" i="1" s="1"/>
  <c r="Y15" i="1"/>
  <c r="Y1" i="1" s="1"/>
  <c r="H15" i="1" l="1"/>
  <c r="O15" i="1" l="1"/>
  <c r="Q15" i="1"/>
  <c r="P15" i="1" l="1"/>
  <c r="AD8" i="1" l="1"/>
  <c r="H8" i="1" l="1"/>
  <c r="T8" i="1" l="1"/>
  <c r="R8" i="1" l="1"/>
  <c r="G8" i="1" l="1"/>
  <c r="I8" i="1"/>
  <c r="L8" i="1" l="1"/>
  <c r="S8" i="1" l="1"/>
  <c r="G11" i="1" l="1"/>
  <c r="H11" i="1"/>
  <c r="I11" i="1" l="1"/>
  <c r="AD16" i="1"/>
  <c r="T16" i="1" l="1"/>
  <c r="H16" i="1" l="1"/>
  <c r="G16" i="1" l="1"/>
  <c r="I16" i="1" l="1"/>
  <c r="L16" i="1"/>
  <c r="Z16" i="1"/>
  <c r="Z1" i="1" s="1"/>
  <c r="AB16" i="1" l="1"/>
  <c r="AB1" i="1" s="1"/>
  <c r="AA16" i="1" l="1"/>
  <c r="AA1" i="1" s="1"/>
  <c r="T15" i="1" l="1"/>
  <c r="T1" i="1" s="1"/>
  <c r="R15" i="1" l="1"/>
  <c r="R1" i="1" s="1"/>
  <c r="G15" i="1" l="1"/>
  <c r="I15" i="1" l="1"/>
  <c r="L15" i="1" l="1"/>
  <c r="S15" i="1" l="1"/>
  <c r="S1" i="1" s="1"/>
</calcChain>
</file>

<file path=xl/sharedStrings.xml><?xml version="1.0" encoding="utf-8"?>
<sst xmlns="http://schemas.openxmlformats.org/spreadsheetml/2006/main" count="857" uniqueCount="545">
  <si>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</si>
  <si>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</si>
  <si>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</si>
  <si>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</si>
  <si>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</si>
  <si>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</si>
  <si>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</si>
  <si>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</si>
  <si>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</si>
  <si>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</si>
  <si>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</si>
  <si>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</si>
  <si>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</si>
  <si>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</si>
  <si>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</si>
  <si>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</si>
  <si>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</si>
  <si>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</si>
  <si>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</si>
  <si>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</si>
  <si>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</si>
  <si>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</si>
  <si>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</si>
  <si>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</si>
  <si>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</si>
  <si>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</si>
  <si>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</si>
  <si>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</si>
  <si>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</si>
  <si>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</si>
  <si>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</si>
  <si>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</si>
  <si>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</si>
  <si>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</si>
  <si>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</si>
  <si>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</si>
  <si>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</si>
  <si>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</si>
  <si>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</si>
  <si>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</si>
  <si>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</si>
  <si>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</si>
  <si>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</si>
  <si>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</si>
  <si>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</si>
  <si>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</si>
  <si>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</si>
  <si>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</si>
  <si>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</si>
  <si>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</si>
  <si>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</si>
  <si>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</si>
  <si>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</si>
  <si>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</si>
  <si>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</si>
  <si>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</si>
  <si>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</si>
  <si>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</si>
  <si>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</si>
  <si>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</si>
  <si>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</si>
  <si>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</si>
  <si>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</si>
  <si>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</si>
  <si>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</si>
  <si>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</si>
  <si>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</si>
  <si>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</si>
  <si>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</si>
  <si>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</si>
  <si>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</si>
  <si>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</si>
  <si>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</si>
  <si>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</si>
  <si>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</si>
  <si>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</si>
  <si>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</si>
  <si>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</si>
  <si>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</si>
  <si>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</si>
  <si>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</si>
  <si>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</si>
  <si>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</si>
  <si>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</si>
  <si>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</si>
  <si>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</si>
  <si>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</si>
  <si>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</si>
  <si>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</si>
  <si>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</si>
  <si>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</si>
  <si>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</si>
  <si>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</si>
  <si>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</si>
  <si>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</si>
  <si>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</si>
  <si>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</si>
  <si>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</si>
  <si>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</si>
  <si>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</si>
  <si>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</si>
  <si>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</si>
  <si>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</si>
  <si>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</si>
  <si>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</si>
  <si>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</si>
  <si>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</si>
  <si>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</si>
  <si>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</si>
  <si>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</si>
  <si>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</si>
  <si>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</si>
  <si>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</si>
  <si>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</si>
  <si>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</si>
  <si>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</si>
  <si>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</si>
  <si>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</si>
  <si>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</si>
  <si>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</si>
  <si>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</si>
  <si>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</si>
  <si>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</si>
  <si>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</si>
  <si>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</si>
  <si>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</si>
  <si>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</si>
  <si>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</si>
  <si>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</si>
  <si>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</si>
  <si>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</si>
  <si>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</si>
  <si>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</si>
  <si>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</si>
  <si>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</si>
  <si>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</si>
  <si>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</si>
  <si>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</si>
  <si>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</si>
  <si>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</si>
  <si>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</si>
  <si>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</si>
  <si>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</si>
  <si>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</si>
  <si>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</si>
  <si>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</si>
  <si>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</si>
  <si>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</si>
  <si>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</si>
  <si>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</si>
  <si>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</si>
  <si>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</si>
  <si>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</si>
  <si>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</si>
  <si>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</si>
  <si>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</si>
  <si>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</si>
  <si>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</si>
  <si>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</si>
  <si>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</si>
  <si>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</si>
  <si>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</si>
  <si>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</si>
  <si>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</si>
  <si>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</si>
  <si>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</si>
  <si>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</si>
  <si>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</si>
  <si>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</si>
  <si>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</si>
  <si>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</si>
  <si>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</si>
  <si>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</si>
  <si>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</si>
  <si>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</si>
  <si>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</si>
  <si>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</si>
  <si>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</si>
  <si>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</si>
  <si>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</si>
  <si>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</si>
  <si>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</si>
  <si>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</si>
  <si>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</si>
  <si>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</si>
  <si>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</si>
  <si>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</si>
  <si>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</si>
  <si>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</si>
  <si>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</si>
  <si>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</si>
  <si>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</si>
  <si>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</si>
  <si>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</si>
  <si>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</si>
  <si>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</si>
  <si>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</si>
  <si>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</si>
  <si>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</si>
  <si>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</si>
  <si>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</si>
  <si>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</si>
  <si>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</si>
  <si>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</si>
  <si>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</si>
  <si>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</si>
  <si>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</si>
  <si>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</si>
  <si>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</si>
  <si>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</si>
  <si>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</si>
  <si>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</si>
  <si>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</si>
  <si>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</si>
  <si>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</si>
  <si>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</si>
  <si>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</si>
  <si>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</si>
  <si>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</si>
  <si>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</si>
  <si>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</si>
  <si>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</si>
  <si>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</si>
  <si>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</si>
  <si>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</si>
  <si>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</si>
  <si>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</si>
  <si>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</si>
  <si>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</si>
  <si>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</si>
  <si>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</si>
  <si>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</si>
  <si>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</si>
  <si>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</si>
  <si>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</si>
  <si>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</si>
  <si>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</si>
  <si>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</si>
  <si>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</si>
  <si>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</si>
  <si>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</si>
  <si>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</si>
  <si>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</si>
  <si>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</si>
  <si>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</si>
  <si>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</si>
  <si>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</si>
  <si>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</si>
  <si>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</si>
  <si>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</si>
  <si>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</si>
  <si>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</si>
  <si>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</si>
  <si>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</si>
  <si>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</si>
  <si>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</si>
  <si>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</si>
  <si>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</si>
  <si>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</si>
  <si>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</si>
  <si>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</si>
  <si>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</si>
  <si>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</si>
  <si>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</si>
  <si>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</si>
  <si>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</si>
  <si>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</si>
  <si>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</si>
  <si>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</si>
  <si>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</si>
  <si>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</si>
  <si>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</si>
  <si>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</si>
  <si>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</si>
  <si>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</si>
  <si>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</si>
  <si>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</si>
  <si>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</si>
  <si>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</si>
  <si>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</si>
  <si>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</si>
  <si>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</si>
  <si>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</si>
  <si>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</si>
  <si>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</si>
  <si>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</si>
  <si>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</si>
  <si>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</si>
  <si>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</si>
  <si>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</si>
  <si>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</si>
  <si>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</si>
  <si>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</si>
  <si>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</si>
  <si>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</si>
  <si>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</si>
  <si>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</si>
  <si>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</si>
  <si>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</si>
  <si>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</si>
  <si>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</si>
  <si>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</si>
  <si>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</si>
  <si>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</si>
  <si>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</si>
  <si>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</si>
  <si>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</si>
  <si>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</si>
  <si>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</si>
  <si>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</si>
  <si>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</si>
  <si>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</si>
  <si>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</si>
  <si>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</si>
  <si>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</si>
  <si>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</si>
  <si>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</si>
  <si>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</si>
  <si>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</si>
  <si>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</si>
  <si>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</si>
  <si>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</si>
  <si>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</si>
  <si>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</si>
  <si>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</si>
  <si>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</si>
  <si>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</si>
  <si>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</si>
  <si>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</si>
  <si>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</si>
  <si>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</si>
  <si>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</si>
  <si>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</si>
  <si>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</si>
  <si>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</si>
  <si>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</si>
  <si>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</si>
  <si>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</si>
  <si>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</si>
  <si>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</si>
  <si>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</si>
  <si>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</si>
  <si>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</si>
  <si>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</si>
  <si>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</si>
  <si>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</si>
  <si>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</si>
  <si>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</si>
  <si>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</si>
  <si>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</si>
  <si>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</si>
  <si>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</si>
  <si>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</si>
  <si>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</si>
  <si>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</si>
  <si>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</si>
  <si>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</si>
  <si>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</si>
  <si>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</si>
  <si>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</si>
  <si>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</si>
  <si>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</si>
  <si>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</si>
  <si>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</si>
  <si>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</si>
  <si>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</si>
  <si>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</si>
  <si>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</si>
  <si>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</si>
  <si>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</si>
  <si>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</si>
  <si>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</si>
  <si>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</si>
  <si>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</si>
  <si>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</si>
  <si>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</si>
  <si>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</si>
  <si>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</si>
  <si>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</si>
  <si>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</si>
  <si>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</si>
  <si>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</si>
  <si>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</si>
  <si>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</si>
  <si>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</si>
  <si>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</si>
  <si>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</si>
  <si>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</si>
  <si>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</si>
  <si>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</si>
  <si>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</si>
  <si>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</si>
  <si>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</si>
  <si>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</si>
  <si>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</si>
  <si>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</si>
  <si>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</si>
  <si>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</si>
  <si>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</si>
  <si>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</si>
  <si>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</si>
  <si>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</si>
  <si>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</si>
  <si>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</si>
  <si>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</si>
  <si>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</si>
  <si>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</si>
  <si>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</si>
  <si>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</si>
  <si>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</si>
  <si>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</si>
  <si>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</si>
  <si>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</si>
  <si>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</si>
  <si>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</si>
  <si>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</si>
  <si>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</si>
  <si>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</si>
  <si>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</si>
  <si>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</si>
  <si>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</si>
  <si>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</si>
  <si>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</si>
  <si>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</si>
  <si>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</si>
  <si>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</si>
  <si>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</si>
  <si>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</si>
  <si>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</si>
  <si>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</si>
  <si>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</si>
  <si>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</si>
  <si>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</si>
  <si>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</si>
  <si>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</si>
  <si>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</si>
  <si>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</si>
  <si>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</si>
  <si>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</si>
  <si>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</si>
  <si>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</si>
  <si>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</si>
  <si>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</si>
  <si>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</si>
  <si>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</si>
  <si>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</si>
  <si>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</si>
  <si>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</si>
  <si>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</si>
  <si>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</si>
  <si>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</si>
  <si>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</si>
  <si>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</si>
  <si>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</si>
  <si>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</si>
  <si>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</si>
  <si>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</si>
  <si>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</si>
  <si>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</si>
  <si>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</si>
  <si>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</si>
  <si>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</si>
  <si>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</si>
  <si>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</si>
  <si>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</si>
  <si>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</si>
  <si>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</si>
  <si>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</si>
  <si>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</si>
  <si>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</si>
  <si>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</si>
  <si>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</si>
  <si>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</si>
  <si>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</si>
  <si>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</si>
  <si>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</si>
  <si>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</si>
  <si>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</si>
  <si>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</si>
  <si>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</si>
  <si>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</si>
  <si>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</si>
  <si>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</si>
  <si>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</si>
  <si>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</si>
  <si>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</si>
  <si>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</si>
  <si>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</si>
  <si>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</si>
  <si>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</si>
  <si>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</si>
  <si>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</si>
  <si>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</si>
  <si>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</si>
  <si>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</si>
  <si>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</si>
  <si>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</si>
  <si>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</si>
  <si>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</si>
  <si>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</si>
  <si>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</si>
  <si>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</si>
  <si>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</si>
  <si>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</si>
  <si>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</si>
  <si>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</si>
  <si>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</si>
  <si>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</si>
  <si>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</si>
  <si>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</si>
  <si>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</si>
  <si>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</si>
  <si>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</si>
  <si>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</si>
  <si>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</si>
  <si>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</si>
  <si>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</si>
  <si>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</si>
  <si>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</si>
  <si>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</si>
  <si>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</si>
  <si>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</si>
  <si>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</si>
  <si>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</si>
  <si>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</si>
  <si>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</si>
  <si>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</si>
  <si>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</si>
  <si>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</si>
  <si>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</si>
  <si>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</si>
  <si>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</si>
  <si>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</si>
  <si>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</si>
  <si>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</si>
  <si>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</si>
  <si>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</si>
  <si>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</si>
  <si>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</si>
  <si>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Acquired by £FRAS 2022</t>
  </si>
  <si>
    <t>Collapsed into administration Nov 2022</t>
  </si>
  <si>
    <t>£BRBY</t>
  </si>
  <si>
    <t>£MUL</t>
  </si>
  <si>
    <t>Mulberry Group Plc</t>
  </si>
  <si>
    <t>Avg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</si>
</sst>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£&quot;#,##0.00;[Red]\-&quot;£&quot;#,##0.00"/>
    <numFmt numFmtId="164" formatCode="[$€-2]\ #,##0.00;[Red]\-[$€-2]\ #,##0.00"/>
    <numFmt numFmtId="165" formatCode="#,##0.0"/>
    <numFmt numFmtId="166" formatCode="0\x"/>
    <numFmt numFmtId="167" formatCode="0.0\x"/>
    <numFmt numFmtId="168" formatCode="0.#\x"/>
    <numFmt numFmtId="169" formatCode="0.0"/>
    <numFmt numFmtId="170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8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8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9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1" fillId="10" borderId="0" xfId="0" applyFont="1" applyFill="1"/>
    <xf numFmtId="0" fontId="0" fillId="11" borderId="0" xfId="0" applyFill="1"/>
    <xf numFmtId="0" fontId="3" fillId="11" borderId="2" xfId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0" fontId="6" fillId="11" borderId="2" xfId="0" applyFont="1" applyFill="1" applyBorder="1" applyAlignment="1">
      <alignment horizontal="center" vertical="top"/>
    </xf>
    <xf numFmtId="0" fontId="6" fillId="11" borderId="2" xfId="0" applyFont="1" applyFill="1" applyBorder="1" applyAlignment="1">
      <alignment horizontal="left" vertical="top"/>
    </xf>
    <xf numFmtId="0" fontId="8" fillId="11" borderId="2" xfId="0" applyFont="1" applyFill="1" applyBorder="1" applyAlignment="1">
      <alignment horizontal="right" vertical="top"/>
    </xf>
    <xf numFmtId="0" fontId="7" fillId="11" borderId="2" xfId="0" applyFont="1" applyFill="1" applyBorder="1" applyAlignment="1">
      <alignment horizontal="right" vertical="top"/>
    </xf>
    <xf numFmtId="0" fontId="9" fillId="11" borderId="2" xfId="0" applyFont="1" applyFill="1" applyBorder="1" applyAlignment="1">
      <alignment horizontal="right" vertical="top"/>
    </xf>
    <xf numFmtId="10" fontId="8" fillId="11" borderId="2" xfId="0" applyNumberFormat="1" applyFont="1" applyFill="1" applyBorder="1" applyAlignment="1">
      <alignment horizontal="right" vertical="top"/>
    </xf>
    <xf numFmtId="15" fontId="8" fillId="11" borderId="2" xfId="0" applyNumberFormat="1" applyFont="1" applyFill="1" applyBorder="1" applyAlignment="1">
      <alignment horizontal="right" vertical="top"/>
    </xf>
    <xf numFmtId="0" fontId="6" fillId="11" borderId="2" xfId="0" applyFont="1" applyFill="1" applyBorder="1" applyAlignment="1">
      <alignment horizontal="right" vertical="top"/>
    </xf>
    <xf numFmtId="15" fontId="7" fillId="11" borderId="2" xfId="0" applyNumberFormat="1" applyFont="1" applyFill="1" applyBorder="1" applyAlignment="1">
      <alignment horizontal="right" vertical="top"/>
    </xf>
    <xf numFmtId="8" fontId="9" fillId="11" borderId="2" xfId="0" applyNumberFormat="1" applyFont="1" applyFill="1" applyBorder="1" applyAlignment="1">
      <alignment horizontal="right" vertical="top"/>
    </xf>
    <xf numFmtId="0" fontId="3" fillId="11" borderId="0" xfId="1" applyFill="1" applyAlignment="1">
      <alignment vertical="top"/>
    </xf>
    <xf numFmtId="0" fontId="6" fillId="11" borderId="0" xfId="0" applyFont="1" applyFill="1" applyAlignment="1">
      <alignment vertical="top"/>
    </xf>
    <xf numFmtId="0" fontId="6" fillId="11" borderId="0" xfId="0" applyFont="1" applyFill="1" applyAlignment="1">
      <alignment horizontal="center" vertical="top"/>
    </xf>
    <xf numFmtId="0" fontId="6" fillId="11" borderId="0" xfId="0" applyFont="1" applyFill="1" applyAlignment="1">
      <alignment horizontal="left" vertical="top"/>
    </xf>
    <xf numFmtId="0" fontId="9" fillId="11" borderId="0" xfId="0" applyFont="1" applyFill="1" applyAlignment="1">
      <alignment horizontal="right" vertical="top"/>
    </xf>
    <xf numFmtId="8" fontId="9" fillId="11" borderId="0" xfId="0" applyNumberFormat="1" applyFont="1" applyFill="1" applyAlignment="1">
      <alignment horizontal="right" vertical="top"/>
    </xf>
    <xf numFmtId="0" fontId="6" fillId="11" borderId="0" xfId="0" applyFont="1" applyFill="1" applyAlignment="1">
      <alignment horizontal="right" vertical="top"/>
    </xf>
    <xf numFmtId="0" fontId="7" fillId="11" borderId="0" xfId="0" applyFont="1" applyFill="1" applyAlignment="1">
      <alignment horizontal="right" vertical="top"/>
    </xf>
    <xf numFmtId="10" fontId="7" fillId="11" borderId="0" xfId="0" applyNumberFormat="1" applyFont="1" applyFill="1" applyAlignment="1">
      <alignment horizontal="right" vertical="top"/>
    </xf>
    <xf numFmtId="10" fontId="8" fillId="11" borderId="0" xfId="0" applyNumberFormat="1" applyFont="1" applyFill="1" applyAlignment="1">
      <alignment horizontal="right" vertical="top"/>
    </xf>
    <xf numFmtId="0" fontId="8" fillId="11" borderId="0" xfId="0" applyFont="1" applyFill="1" applyAlignment="1">
      <alignment horizontal="right" vertical="top"/>
    </xf>
    <xf numFmtId="15" fontId="7" fillId="11" borderId="0" xfId="0" applyNumberFormat="1" applyFont="1" applyFill="1" applyAlignment="1">
      <alignment horizontal="right" vertical="top"/>
    </xf>
    <xf numFmtId="165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2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" fontId="11" fillId="0" borderId="0" xfId="0" applyNumberFormat="1" applyFont="1" applyFill="1" applyAlignment="1">
      <alignment horizontal="center"/>
    </xf>
    <xf numFmtId="0" fontId="1" fillId="13" borderId="0" xfId="0" applyFont="1" applyFill="1"/>
    <xf numFmtId="0" fontId="4" fillId="13" borderId="0" xfId="1" applyFont="1" applyFill="1"/>
    <xf numFmtId="0" fontId="1" fillId="13" borderId="0" xfId="0" applyFont="1" applyFill="1" applyAlignment="1">
      <alignment horizontal="center"/>
    </xf>
    <xf numFmtId="9" fontId="1" fillId="13" borderId="0" xfId="0" applyNumberFormat="1" applyFont="1" applyFill="1" applyAlignment="1">
      <alignment horizontal="center"/>
    </xf>
    <xf numFmtId="165" fontId="1" fillId="13" borderId="0" xfId="0" applyNumberFormat="1" applyFont="1" applyFill="1"/>
    <xf numFmtId="0" fontId="1" fillId="0" borderId="0" xfId="0" applyFont="1" applyFill="1"/>
    <xf numFmtId="0" fontId="4" fillId="0" borderId="0" xfId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center"/>
    </xf>
    <xf numFmtId="169" fontId="1" fillId="13" borderId="0" xfId="0" applyNumberFormat="1" applyFont="1" applyFill="1" applyAlignment="1">
      <alignment horizontal="right"/>
    </xf>
    <xf numFmtId="167" fontId="11" fillId="0" borderId="0" xfId="0" applyNumberFormat="1" applyFont="1" applyFill="1" applyAlignment="1">
      <alignment horizontal="center"/>
    </xf>
    <xf numFmtId="170" fontId="1" fillId="13" borderId="0" xfId="0" applyNumberFormat="1" applyFont="1" applyFill="1" applyAlignment="1">
      <alignment horizontal="right"/>
    </xf>
    <xf numFmtId="15" fontId="1" fillId="13" borderId="0" xfId="0" applyNumberFormat="1" applyFont="1" applyFill="1" applyAlignment="1">
      <alignment horizontal="center"/>
    </xf>
    <xf numFmtId="16" fontId="1" fillId="13" borderId="0" xfId="0" applyNumberFormat="1" applyFont="1" applyFill="1" applyAlignment="1">
      <alignment horizontal="center"/>
    </xf>
    <xf numFmtId="167" fontId="1" fillId="13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169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5" fontId="1" fillId="6" borderId="0" xfId="0" applyNumberFormat="1" applyFont="1" applyFill="1"/>
    <xf numFmtId="9" fontId="11" fillId="14" borderId="0" xfId="0" applyNumberFormat="1" applyFont="1" applyFill="1" applyAlignment="1">
      <alignment horizontal="center"/>
    </xf>
    <xf numFmtId="10" fontId="7" fillId="11" borderId="2" xfId="0" applyNumberFormat="1" applyFont="1" applyFill="1" applyBorder="1" applyAlignment="1">
      <alignment horizontal="right" vertical="top"/>
    </xf>
    <xf numFmtId="0" fontId="3" fillId="15" borderId="2" xfId="1" applyFill="1" applyBorder="1" applyAlignment="1">
      <alignment vertical="top"/>
    </xf>
    <xf numFmtId="0" fontId="6" fillId="15" borderId="2" xfId="0" applyFont="1" applyFill="1" applyBorder="1" applyAlignment="1">
      <alignment vertical="top"/>
    </xf>
    <xf numFmtId="0" fontId="6" fillId="15" borderId="2" xfId="0" applyFont="1" applyFill="1" applyBorder="1" applyAlignment="1">
      <alignment horizontal="center" vertical="top"/>
    </xf>
    <xf numFmtId="0" fontId="6" fillId="15" borderId="2" xfId="0" applyFont="1" applyFill="1" applyBorder="1" applyAlignment="1">
      <alignment horizontal="left" vertical="top"/>
    </xf>
    <xf numFmtId="0" fontId="8" fillId="15" borderId="2" xfId="0" applyFont="1" applyFill="1" applyBorder="1" applyAlignment="1">
      <alignment horizontal="right" vertical="top"/>
    </xf>
    <xf numFmtId="0" fontId="9" fillId="15" borderId="2" xfId="0" applyFont="1" applyFill="1" applyBorder="1" applyAlignment="1">
      <alignment horizontal="right" vertical="top"/>
    </xf>
    <xf numFmtId="10" fontId="8" fillId="15" borderId="2" xfId="0" applyNumberFormat="1" applyFont="1" applyFill="1" applyBorder="1" applyAlignment="1">
      <alignment horizontal="right" vertical="top"/>
    </xf>
    <xf numFmtId="15" fontId="7" fillId="15" borderId="2" xfId="0" applyNumberFormat="1" applyFont="1" applyFill="1" applyBorder="1" applyAlignment="1">
      <alignment horizontal="right" vertical="top"/>
    </xf>
    <xf numFmtId="0" fontId="6" fillId="15" borderId="2" xfId="0" applyFont="1" applyFill="1" applyBorder="1" applyAlignment="1">
      <alignment horizontal="right" vertical="top"/>
    </xf>
    <xf numFmtId="0" fontId="0" fillId="15" borderId="0" xfId="0" applyFill="1"/>
    <xf numFmtId="166" fontId="1" fillId="13" borderId="0" xfId="0" applyNumberFormat="1" applyFont="1" applyFill="1" applyAlignment="1">
      <alignment horizontal="center"/>
    </xf>
    <xf numFmtId="10" fontId="9" fillId="11" borderId="0" xfId="0" applyNumberFormat="1" applyFont="1" applyFill="1" applyAlignment="1">
      <alignment horizontal="right" vertical="top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4" fontId="1" fillId="0" borderId="0" xfId="0" applyNumberFormat="1" applyFont="1" applyAlignment="1">
      <alignment horizontal="center"/>
    </xf>
    <xf numFmtId="2" fontId="11" fillId="0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105.42</v>
          </cell>
        </row>
        <row r="8">
          <cell r="C8">
            <v>165203.682</v>
          </cell>
        </row>
        <row r="11">
          <cell r="C11">
            <v>2445</v>
          </cell>
        </row>
        <row r="12">
          <cell r="C12">
            <v>162758.682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26.920059874297088</v>
          </cell>
        </row>
        <row r="34">
          <cell r="C34">
            <v>27.514079474032453</v>
          </cell>
        </row>
        <row r="36">
          <cell r="C36">
            <v>10.44139059537353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18.78</v>
          </cell>
        </row>
        <row r="8">
          <cell r="C8">
            <v>947.28198000000009</v>
          </cell>
        </row>
        <row r="11">
          <cell r="C11">
            <v>65.737000000000023</v>
          </cell>
        </row>
        <row r="12">
          <cell r="C12">
            <v>881.54498000000012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734</v>
          </cell>
        </row>
        <row r="27">
          <cell r="C27" t="str">
            <v>Q222</v>
          </cell>
          <cell r="D27">
            <v>44798</v>
          </cell>
        </row>
        <row r="32">
          <cell r="C32">
            <v>-1.1403242455522447</v>
          </cell>
        </row>
        <row r="33">
          <cell r="C33">
            <v>-59.384665735624246</v>
          </cell>
        </row>
        <row r="35">
          <cell r="C35">
            <v>1.4078524676899669</v>
          </cell>
        </row>
        <row r="37">
          <cell r="C37">
            <v>4.2554718831983633</v>
          </cell>
        </row>
        <row r="38">
          <cell r="C38">
            <v>3.3517546100908753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P27">
            <v>0.57868116771892864</v>
          </cell>
        </row>
        <row r="28">
          <cell r="P28">
            <v>-2.721431490353244E-3</v>
          </cell>
        </row>
        <row r="30">
          <cell r="P30">
            <v>-2.0909437566684987E-2</v>
          </cell>
        </row>
        <row r="31">
          <cell r="P31">
            <v>-0.61857707509881543</v>
          </cell>
        </row>
        <row r="41">
          <cell r="P41">
            <v>708.024</v>
          </cell>
        </row>
        <row r="67">
          <cell r="P67">
            <v>0.25868695667632569</v>
          </cell>
        </row>
        <row r="69">
          <cell r="X69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</sheetData>
      <sheetData sheetId="1"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1.3308</v>
          </cell>
        </row>
        <row r="8">
          <cell r="C8">
            <v>108.96466901759999</v>
          </cell>
        </row>
        <row r="11">
          <cell r="C11">
            <v>8.3000000000000007</v>
          </cell>
        </row>
        <row r="12">
          <cell r="C12">
            <v>100.66466901759999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4.4345669170748829</v>
          </cell>
        </row>
        <row r="35">
          <cell r="C35">
            <v>4.8002056835947062</v>
          </cell>
        </row>
        <row r="37">
          <cell r="C37">
            <v>1.048745611333975</v>
          </cell>
        </row>
        <row r="39">
          <cell r="C39">
            <v>-3.0239089360221629</v>
          </cell>
        </row>
        <row r="42">
          <cell r="C42">
            <v>4.097646421860806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2">
          <cell r="S82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33.08</v>
          </cell>
        </row>
        <row r="8">
          <cell r="C8">
            <v>12824.719039999998</v>
          </cell>
        </row>
        <row r="11">
          <cell r="C11">
            <v>-4666.0349999999999</v>
          </cell>
        </row>
        <row r="12">
          <cell r="C12">
            <v>17490.75404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12.611393343865217</v>
          </cell>
        </row>
        <row r="34">
          <cell r="C34">
            <v>9.3091188772666609</v>
          </cell>
        </row>
        <row r="36">
          <cell r="C36">
            <v>4.156264394115186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3929.6604000000002</v>
          </cell>
        </row>
        <row r="11">
          <cell r="C11">
            <v>0</v>
          </cell>
        </row>
        <row r="12">
          <cell r="C12">
            <v>3929.6604000000002</v>
          </cell>
        </row>
        <row r="23">
          <cell r="C23" t="str">
            <v>Mansfiled, UK</v>
          </cell>
        </row>
        <row r="24">
          <cell r="C24">
            <v>1982</v>
          </cell>
        </row>
        <row r="25">
          <cell r="C25"/>
        </row>
        <row r="26">
          <cell r="C26"/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5">
          <cell r="AA95">
            <v>0.20023255361795636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26.04</v>
          </cell>
        </row>
        <row r="8">
          <cell r="C8">
            <v>2412.8663999999999</v>
          </cell>
        </row>
        <row r="23">
          <cell r="C23" t="str">
            <v>Philadelphia, PA</v>
          </cell>
        </row>
        <row r="24">
          <cell r="C24">
            <v>1970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2176.5032000000001</v>
          </cell>
        </row>
        <row r="11">
          <cell r="C11">
            <v>-177</v>
          </cell>
        </row>
        <row r="12">
          <cell r="C12">
            <v>2353.5032000000001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1141</v>
          </cell>
        </row>
        <row r="26">
          <cell r="C26">
            <v>682.1</v>
          </cell>
        </row>
        <row r="28">
          <cell r="C28" t="str">
            <v>Q122</v>
          </cell>
        </row>
        <row r="33">
          <cell r="C33">
            <v>74.149439193446582</v>
          </cell>
        </row>
        <row r="34">
          <cell r="C34">
            <v>5.160629036332355</v>
          </cell>
        </row>
        <row r="36">
          <cell r="C36">
            <v>1.573748197766315</v>
          </cell>
        </row>
      </sheetData>
      <sheetData sheetId="1">
        <row r="16">
          <cell r="Y16">
            <v>-209.33700000000022</v>
          </cell>
          <cell r="Z16">
            <v>419.62599999999986</v>
          </cell>
        </row>
        <row r="20">
          <cell r="Z20">
            <v>0.33299379683036578</v>
          </cell>
        </row>
        <row r="23">
          <cell r="O23">
            <v>0.36778425780328089</v>
          </cell>
        </row>
        <row r="24">
          <cell r="O24">
            <v>3.9716142656608319E-2</v>
          </cell>
        </row>
        <row r="25">
          <cell r="O25">
            <v>3.0084252969327211E-2</v>
          </cell>
        </row>
        <row r="26">
          <cell r="O26">
            <v>0.23990612577230669</v>
          </cell>
        </row>
        <row r="71">
          <cell r="O71">
            <v>0.4615447248541884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41">
          <cell r="C41">
            <v>5.4526753959501493</v>
          </cell>
        </row>
        <row r="42">
          <cell r="C42">
            <v>3.5843551695103639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6">
          <cell r="T76">
            <v>0.27394893941318432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B22" sqref="B22:N23"/>
    </sheetView>
  </sheetViews>
  <sheetFormatPr defaultColWidth="8.85546875" defaultRowHeight="15" x14ac:dyDescent="0.25"/>
  <cols>
    <col min="1" max="1" width="6.42578125" bestFit="1" customWidth="1"/>
    <col min="2" max="2" width="31" bestFit="1" customWidth="1"/>
    <col min="3" max="3" width="10" bestFit="1" customWidth="1"/>
    <col min="4" max="4" width="33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2.2851562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60" customFormat="1" ht="15.75" thickBot="1" x14ac:dyDescent="0.3">
      <c r="A2" s="61" t="s">
        <v>241</v>
      </c>
      <c r="B2" s="62" t="s">
        <v>242</v>
      </c>
      <c r="C2" s="63" t="s">
        <v>31</v>
      </c>
      <c r="D2" s="64" t="s">
        <v>243</v>
      </c>
      <c r="E2" s="65" t="s">
        <v>244</v>
      </c>
      <c r="F2" s="65" t="s">
        <v>245</v>
      </c>
      <c r="G2" s="66">
        <v>12.8</v>
      </c>
      <c r="H2" s="66">
        <v>11.67</v>
      </c>
      <c r="I2" s="67">
        <v>2.78</v>
      </c>
      <c r="J2" s="65" t="s">
        <v>246</v>
      </c>
      <c r="K2" s="68">
        <v>0.87970000000000004</v>
      </c>
      <c r="L2" s="69">
        <v>44770</v>
      </c>
      <c r="M2" s="70" t="s">
        <v>247</v>
      </c>
      <c r="N2" s="68">
        <v>1.21E-2</v>
      </c>
    </row>
    <row r="3" spans="1:14" ht="15.75" thickBot="1" x14ac:dyDescent="0.3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5.75" thickBot="1" x14ac:dyDescent="0.3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s="60" customFormat="1" ht="15.75" thickBot="1" x14ac:dyDescent="0.3">
      <c r="A5" s="73" t="s">
        <v>259</v>
      </c>
      <c r="B5" s="74" t="s">
        <v>260</v>
      </c>
      <c r="C5" s="75" t="s">
        <v>13</v>
      </c>
      <c r="D5" s="76" t="s">
        <v>243</v>
      </c>
      <c r="E5" s="83" t="s">
        <v>261</v>
      </c>
      <c r="F5" s="83" t="s">
        <v>262</v>
      </c>
      <c r="G5" s="80">
        <v>13.66</v>
      </c>
      <c r="H5" s="80">
        <v>10.33</v>
      </c>
      <c r="I5" s="77">
        <v>1.29</v>
      </c>
      <c r="J5" s="83" t="s">
        <v>263</v>
      </c>
      <c r="K5" s="82">
        <v>0.67410000000000003</v>
      </c>
      <c r="L5" s="79" t="s">
        <v>54</v>
      </c>
      <c r="M5" s="79" t="s">
        <v>264</v>
      </c>
      <c r="N5" s="130">
        <v>-1.8E-3</v>
      </c>
    </row>
    <row r="6" spans="1:14" ht="15.75" thickBot="1" x14ac:dyDescent="0.3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5.75" thickBot="1" x14ac:dyDescent="0.3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5.75" thickBot="1" x14ac:dyDescent="0.3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5.75" thickBot="1" x14ac:dyDescent="0.3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5.75" thickBot="1" x14ac:dyDescent="0.3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5.75" thickBot="1" x14ac:dyDescent="0.3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60" customFormat="1" ht="15.75" thickBot="1" x14ac:dyDescent="0.3">
      <c r="A12" s="61" t="s">
        <v>301</v>
      </c>
      <c r="B12" s="62" t="s">
        <v>302</v>
      </c>
      <c r="C12" s="63" t="s">
        <v>31</v>
      </c>
      <c r="D12" s="64" t="s">
        <v>243</v>
      </c>
      <c r="E12" s="65" t="s">
        <v>303</v>
      </c>
      <c r="F12" s="70" t="s">
        <v>54</v>
      </c>
      <c r="G12" s="67">
        <v>30.13</v>
      </c>
      <c r="H12" s="70" t="s">
        <v>54</v>
      </c>
      <c r="I12" s="67">
        <v>1.39</v>
      </c>
      <c r="J12" s="65" t="s">
        <v>304</v>
      </c>
      <c r="K12" s="68">
        <v>0.72070000000000001</v>
      </c>
      <c r="L12" s="71">
        <v>44776</v>
      </c>
      <c r="M12" s="70" t="s">
        <v>305</v>
      </c>
      <c r="N12" s="68">
        <v>2.8199999999999999E-2</v>
      </c>
    </row>
    <row r="13" spans="1:14" ht="15.75" thickBot="1" x14ac:dyDescent="0.3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8" customFormat="1" ht="15.75" thickBot="1" x14ac:dyDescent="0.3">
      <c r="A14" s="119" t="s">
        <v>312</v>
      </c>
      <c r="B14" s="120" t="s">
        <v>302</v>
      </c>
      <c r="C14" s="121" t="s">
        <v>31</v>
      </c>
      <c r="D14" s="122" t="s">
        <v>243</v>
      </c>
      <c r="E14" s="123" t="s">
        <v>313</v>
      </c>
      <c r="F14" s="123" t="s">
        <v>314</v>
      </c>
      <c r="G14" s="123">
        <v>17.72</v>
      </c>
      <c r="H14" s="123">
        <v>4.3499999999999996</v>
      </c>
      <c r="I14" s="124">
        <v>1.39</v>
      </c>
      <c r="J14" s="123" t="s">
        <v>315</v>
      </c>
      <c r="K14" s="125">
        <v>0.92459999999999998</v>
      </c>
      <c r="L14" s="126">
        <v>44776</v>
      </c>
      <c r="M14" s="127" t="s">
        <v>316</v>
      </c>
      <c r="N14" s="125">
        <v>3.4799999999999998E-2</v>
      </c>
    </row>
    <row r="15" spans="1:14" ht="15.75" thickBot="1" x14ac:dyDescent="0.3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5.75" thickBot="1" x14ac:dyDescent="0.3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5.75" thickBot="1" x14ac:dyDescent="0.3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5.75" thickBot="1" x14ac:dyDescent="0.3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5.75" thickBot="1" x14ac:dyDescent="0.3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5.75" thickBot="1" x14ac:dyDescent="0.3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5.75" thickBot="1" x14ac:dyDescent="0.3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5.75" thickBot="1" x14ac:dyDescent="0.3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5.75" thickBot="1" x14ac:dyDescent="0.3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5.75" thickBot="1" x14ac:dyDescent="0.3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5.75" thickBot="1" x14ac:dyDescent="0.3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5.75" thickBot="1" x14ac:dyDescent="0.3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5.75" thickBot="1" x14ac:dyDescent="0.3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60" customFormat="1" ht="15.75" thickBot="1" x14ac:dyDescent="0.3">
      <c r="A28" s="61" t="s">
        <v>391</v>
      </c>
      <c r="B28" s="62" t="s">
        <v>392</v>
      </c>
      <c r="C28" s="63" t="s">
        <v>13</v>
      </c>
      <c r="D28" s="64" t="s">
        <v>243</v>
      </c>
      <c r="E28" s="67" t="s">
        <v>393</v>
      </c>
      <c r="F28" s="72">
        <v>-26.39</v>
      </c>
      <c r="G28" s="70" t="s">
        <v>54</v>
      </c>
      <c r="H28" s="70" t="s">
        <v>54</v>
      </c>
      <c r="I28" s="67">
        <v>1.82</v>
      </c>
      <c r="J28" s="65" t="s">
        <v>394</v>
      </c>
      <c r="K28" s="68">
        <v>0.69989999999999997</v>
      </c>
      <c r="L28" s="70" t="s">
        <v>54</v>
      </c>
      <c r="M28" s="70" t="s">
        <v>395</v>
      </c>
      <c r="N28" s="68">
        <v>5.3499999999999999E-2</v>
      </c>
    </row>
    <row r="29" spans="1:14" ht="15.75" thickBot="1" x14ac:dyDescent="0.3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5.75" thickBot="1" x14ac:dyDescent="0.3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60" customFormat="1" ht="15.75" thickBot="1" x14ac:dyDescent="0.3">
      <c r="A31" s="73" t="s">
        <v>10</v>
      </c>
      <c r="B31" s="74" t="s">
        <v>409</v>
      </c>
      <c r="C31" s="75" t="s">
        <v>13</v>
      </c>
      <c r="D31" s="76" t="s">
        <v>243</v>
      </c>
      <c r="E31" s="77" t="s">
        <v>410</v>
      </c>
      <c r="F31" s="78">
        <v>-17.399999999999999</v>
      </c>
      <c r="G31" s="79" t="s">
        <v>54</v>
      </c>
      <c r="H31" s="79" t="s">
        <v>54</v>
      </c>
      <c r="I31" s="77">
        <v>4.67</v>
      </c>
      <c r="J31" s="80" t="s">
        <v>411</v>
      </c>
      <c r="K31" s="81">
        <v>0.29959999999999998</v>
      </c>
      <c r="L31" s="79" t="s">
        <v>54</v>
      </c>
      <c r="M31" s="79" t="s">
        <v>412</v>
      </c>
      <c r="N31" s="82">
        <v>0.10150000000000001</v>
      </c>
    </row>
    <row r="32" spans="1:14" ht="15.75" thickBot="1" x14ac:dyDescent="0.3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5.75" thickBot="1" x14ac:dyDescent="0.3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5.75" thickBot="1" x14ac:dyDescent="0.3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5.75" thickBot="1" x14ac:dyDescent="0.3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5.75" thickBot="1" x14ac:dyDescent="0.3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5.75" thickBot="1" x14ac:dyDescent="0.3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60" customFormat="1" ht="15.75" thickBot="1" x14ac:dyDescent="0.3">
      <c r="A38" s="61" t="s">
        <v>445</v>
      </c>
      <c r="B38" s="62" t="s">
        <v>446</v>
      </c>
      <c r="C38" s="63" t="s">
        <v>13</v>
      </c>
      <c r="D38" s="64" t="s">
        <v>243</v>
      </c>
      <c r="E38" s="67" t="s">
        <v>447</v>
      </c>
      <c r="F38" s="67" t="s">
        <v>448</v>
      </c>
      <c r="G38" s="67">
        <v>28.63</v>
      </c>
      <c r="H38" s="67">
        <v>13.37</v>
      </c>
      <c r="I38" s="67">
        <v>2.92</v>
      </c>
      <c r="J38" s="65" t="s">
        <v>449</v>
      </c>
      <c r="K38" s="118">
        <v>0.4834</v>
      </c>
      <c r="L38" s="70" t="s">
        <v>54</v>
      </c>
      <c r="M38" s="70" t="s">
        <v>450</v>
      </c>
      <c r="N38" s="68">
        <v>9.0499999999999997E-2</v>
      </c>
    </row>
    <row r="39" spans="1:14" ht="15.75" thickBot="1" x14ac:dyDescent="0.3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5.75" thickBot="1" x14ac:dyDescent="0.3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5.75" thickBot="1" x14ac:dyDescent="0.3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5.75" thickBot="1" x14ac:dyDescent="0.3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5.75" thickBot="1" x14ac:dyDescent="0.3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5.75" thickBot="1" x14ac:dyDescent="0.3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workbookViewId="0">
      <selection activeCell="B8" sqref="B8"/>
    </sheetView>
  </sheetViews>
  <sheetFormatPr defaultColWidth="8.85546875" defaultRowHeight="15" x14ac:dyDescent="0.25"/>
  <cols>
    <col min="1" max="1" width="7.7109375" bestFit="1" customWidth="1"/>
    <col min="2" max="2" width="26.855468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1.8554687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5.75" thickBot="1" x14ac:dyDescent="0.3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5.75" thickBot="1" x14ac:dyDescent="0.3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5.75" thickBot="1" x14ac:dyDescent="0.3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5.75" thickBot="1" x14ac:dyDescent="0.3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60" customFormat="1" ht="15.75" thickBot="1" x14ac:dyDescent="0.3">
      <c r="A6" s="61" t="s">
        <v>56</v>
      </c>
      <c r="B6" s="62" t="s">
        <v>57</v>
      </c>
      <c r="C6" s="63" t="s">
        <v>13</v>
      </c>
      <c r="D6" s="64" t="s">
        <v>32</v>
      </c>
      <c r="E6" s="65" t="s">
        <v>58</v>
      </c>
      <c r="F6" s="65" t="s">
        <v>59</v>
      </c>
      <c r="G6" s="65">
        <v>14</v>
      </c>
      <c r="H6" s="66">
        <v>9.94</v>
      </c>
      <c r="I6" s="67">
        <v>2.94</v>
      </c>
      <c r="J6" s="66" t="s">
        <v>60</v>
      </c>
      <c r="K6" s="68">
        <v>0.70030000000000003</v>
      </c>
      <c r="L6" s="71">
        <v>44833</v>
      </c>
      <c r="M6" s="70" t="s">
        <v>61</v>
      </c>
      <c r="N6" s="68">
        <v>2.9700000000000001E-2</v>
      </c>
    </row>
    <row r="7" spans="1:14" ht="15.75" thickBot="1" x14ac:dyDescent="0.3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5.75" thickBot="1" x14ac:dyDescent="0.3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5.75" thickBot="1" x14ac:dyDescent="0.3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5.75" thickBot="1" x14ac:dyDescent="0.3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60" customFormat="1" ht="15.75" thickBot="1" x14ac:dyDescent="0.3">
      <c r="A11" s="73" t="s">
        <v>86</v>
      </c>
      <c r="B11" s="74" t="s">
        <v>87</v>
      </c>
      <c r="C11" s="75" t="s">
        <v>31</v>
      </c>
      <c r="D11" s="76" t="s">
        <v>32</v>
      </c>
      <c r="E11" s="83" t="s">
        <v>88</v>
      </c>
      <c r="F11" s="83" t="s">
        <v>89</v>
      </c>
      <c r="G11" s="83">
        <v>5.53</v>
      </c>
      <c r="H11" s="83">
        <v>3.16</v>
      </c>
      <c r="I11" s="77">
        <v>1.66</v>
      </c>
      <c r="J11" s="83" t="s">
        <v>90</v>
      </c>
      <c r="K11" s="82">
        <v>1</v>
      </c>
      <c r="L11" s="84">
        <v>44805</v>
      </c>
      <c r="M11" s="79" t="s">
        <v>91</v>
      </c>
      <c r="N11" s="82">
        <v>8.5000000000000006E-3</v>
      </c>
    </row>
    <row r="12" spans="1:14" s="60" customFormat="1" ht="15.75" thickBot="1" x14ac:dyDescent="0.3">
      <c r="A12" s="61" t="s">
        <v>92</v>
      </c>
      <c r="B12" s="62" t="s">
        <v>93</v>
      </c>
      <c r="C12" s="63" t="s">
        <v>39</v>
      </c>
      <c r="D12" s="64" t="s">
        <v>32</v>
      </c>
      <c r="E12" s="65" t="s">
        <v>94</v>
      </c>
      <c r="F12" s="65" t="s">
        <v>95</v>
      </c>
      <c r="G12" s="65">
        <v>6.76</v>
      </c>
      <c r="H12" s="65">
        <v>3.27</v>
      </c>
      <c r="I12" s="67">
        <v>1.17</v>
      </c>
      <c r="J12" s="65" t="s">
        <v>96</v>
      </c>
      <c r="K12" s="68">
        <v>0.73499999999999999</v>
      </c>
      <c r="L12" s="71">
        <v>44796</v>
      </c>
      <c r="M12" s="70" t="s">
        <v>97</v>
      </c>
      <c r="N12" s="68">
        <v>3.1099999999999999E-2</v>
      </c>
    </row>
    <row r="13" spans="1:14" ht="15.75" thickBot="1" x14ac:dyDescent="0.3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5.75" thickBot="1" x14ac:dyDescent="0.3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5.75" thickBot="1" x14ac:dyDescent="0.3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5.75" thickBot="1" x14ac:dyDescent="0.3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s="60" customFormat="1" ht="15.75" thickBot="1" x14ac:dyDescent="0.3">
      <c r="A17" s="73" t="s">
        <v>121</v>
      </c>
      <c r="B17" s="74" t="s">
        <v>122</v>
      </c>
      <c r="C17" s="75" t="s">
        <v>31</v>
      </c>
      <c r="D17" s="76" t="s">
        <v>32</v>
      </c>
      <c r="E17" s="80" t="s">
        <v>123</v>
      </c>
      <c r="F17" s="83" t="s">
        <v>124</v>
      </c>
      <c r="G17" s="83">
        <v>4.8899999999999997</v>
      </c>
      <c r="H17" s="83">
        <v>1.94</v>
      </c>
      <c r="I17" s="77">
        <v>2.54</v>
      </c>
      <c r="J17" s="83" t="s">
        <v>125</v>
      </c>
      <c r="K17" s="82">
        <v>1</v>
      </c>
      <c r="L17" s="84">
        <v>44798</v>
      </c>
      <c r="M17" s="79" t="s">
        <v>126</v>
      </c>
      <c r="N17" s="82">
        <v>2.6599999999999999E-2</v>
      </c>
    </row>
    <row r="18" spans="1:14" ht="15.75" thickBot="1" x14ac:dyDescent="0.3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5.75" thickBot="1" x14ac:dyDescent="0.3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5.75" thickBot="1" x14ac:dyDescent="0.3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5.75" thickBot="1" x14ac:dyDescent="0.3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5.75" thickBot="1" x14ac:dyDescent="0.3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5.75" thickBot="1" x14ac:dyDescent="0.3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5.75" thickBot="1" x14ac:dyDescent="0.3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5.75" thickBot="1" x14ac:dyDescent="0.3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5.75" thickBot="1" x14ac:dyDescent="0.3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5.75" thickBot="1" x14ac:dyDescent="0.3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5.75" thickBot="1" x14ac:dyDescent="0.3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5.75" thickBot="1" x14ac:dyDescent="0.3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5.75" thickBot="1" x14ac:dyDescent="0.3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5.75" thickBot="1" x14ac:dyDescent="0.3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5.75" thickBot="1" x14ac:dyDescent="0.3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5.75" thickBot="1" x14ac:dyDescent="0.3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5.75" thickBot="1" x14ac:dyDescent="0.3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5.75" thickBot="1" x14ac:dyDescent="0.3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5.75" thickBot="1" x14ac:dyDescent="0.3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5.75" thickBot="1" x14ac:dyDescent="0.3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5.75" thickBot="1" x14ac:dyDescent="0.3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L33"/>
  <sheetViews>
    <sheetView tabSelected="1" zoomScaleNormal="10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AE11" sqref="AE11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6.42578125" style="1" bestFit="1" customWidth="1"/>
    <col min="4" max="5" width="9.140625" style="4"/>
    <col min="6" max="6" width="11.7109375" style="6" bestFit="1" customWidth="1"/>
    <col min="7" max="9" width="9.140625" style="6"/>
    <col min="10" max="11" width="9.140625" style="4"/>
    <col min="12" max="19" width="9.140625" style="1"/>
    <col min="20" max="23" width="9.140625" style="4"/>
    <col min="24" max="29" width="9.140625" style="1"/>
    <col min="30" max="30" width="11" style="1" bestFit="1" customWidth="1"/>
    <col min="31" max="33" width="9.140625" style="4"/>
    <col min="34" max="34" width="9.140625" style="1"/>
    <col min="35" max="35" width="11.7109375" style="1" bestFit="1" customWidth="1"/>
    <col min="36" max="36" width="9.140625" style="1"/>
    <col min="37" max="37" width="16.85546875" style="1" bestFit="1" customWidth="1"/>
    <col min="38" max="38" width="33.85546875" style="1" bestFit="1" customWidth="1"/>
    <col min="39" max="16384" width="9.140625" style="1"/>
  </cols>
  <sheetData>
    <row r="1" spans="1:38" x14ac:dyDescent="0.2">
      <c r="D1" s="1"/>
      <c r="F1" s="133" t="s">
        <v>499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04">
        <f>AVERAGE(R3:R16)</f>
        <v>2.253020008158559</v>
      </c>
      <c r="S1" s="104">
        <f>AVERAGE(S3:S16)</f>
        <v>13.691069003608686</v>
      </c>
      <c r="T1" s="104">
        <f>AVERAGE(T3:T16)</f>
        <v>2.960123877106037</v>
      </c>
      <c r="U1" s="88"/>
      <c r="V1" s="117">
        <f t="shared" ref="V1:AB1" si="0">AVERAGE(V3:V16)</f>
        <v>0.14757665631622019</v>
      </c>
      <c r="W1" s="117">
        <f t="shared" si="0"/>
        <v>6.1523225008126764E-2</v>
      </c>
      <c r="X1" s="117">
        <f t="shared" si="0"/>
        <v>0.10798125173689554</v>
      </c>
      <c r="Y1" s="117">
        <f t="shared" si="0"/>
        <v>0.48923458289668553</v>
      </c>
      <c r="Z1" s="117">
        <f t="shared" si="0"/>
        <v>5.2286639531140301E-2</v>
      </c>
      <c r="AA1" s="117">
        <f t="shared" si="0"/>
        <v>3.6692022922336129E-2</v>
      </c>
      <c r="AB1" s="117">
        <f t="shared" si="0"/>
        <v>6.454473038657256E-2</v>
      </c>
      <c r="AC1" s="88"/>
      <c r="AD1" s="90" t="s">
        <v>537</v>
      </c>
      <c r="AE1" s="89">
        <f>AVERAGE(AE3:AE16)</f>
        <v>0.28208478568596257</v>
      </c>
      <c r="AF1" s="89">
        <f>AVERAGE(AF3:AF16)</f>
        <v>0.10806567193056367</v>
      </c>
      <c r="AG1" s="89">
        <f>AVERAGE(AG3:AG16)</f>
        <v>0.23476168316344095</v>
      </c>
      <c r="AH1" s="91">
        <f>AVERAGE(AH3:AH16)</f>
        <v>665.09462510297612</v>
      </c>
      <c r="AI1" s="135">
        <f>AVERAGE(AI3:AI16)</f>
        <v>3.8410007956855852</v>
      </c>
      <c r="AJ1" s="91"/>
    </row>
    <row r="2" spans="1:38" s="2" customFormat="1" x14ac:dyDescent="0.2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535</v>
      </c>
      <c r="V2" s="5" t="s">
        <v>518</v>
      </c>
      <c r="W2" s="5" t="s">
        <v>519</v>
      </c>
      <c r="X2" s="5" t="s">
        <v>520</v>
      </c>
      <c r="Y2" s="5" t="s">
        <v>506</v>
      </c>
      <c r="Z2" s="5" t="s">
        <v>507</v>
      </c>
      <c r="AA2" s="5" t="s">
        <v>508</v>
      </c>
      <c r="AB2" s="2" t="s">
        <v>515</v>
      </c>
      <c r="AD2" s="2" t="s">
        <v>528</v>
      </c>
      <c r="AE2" s="5" t="s">
        <v>517</v>
      </c>
      <c r="AF2" s="5" t="s">
        <v>533</v>
      </c>
      <c r="AG2" s="5" t="s">
        <v>532</v>
      </c>
      <c r="AH2" s="5" t="s">
        <v>516</v>
      </c>
      <c r="AI2" s="5" t="s">
        <v>544</v>
      </c>
      <c r="AJ2" s="5" t="s">
        <v>521</v>
      </c>
      <c r="AK2" s="5" t="s">
        <v>522</v>
      </c>
      <c r="AL2" s="2" t="s">
        <v>538</v>
      </c>
    </row>
    <row r="3" spans="1:38" x14ac:dyDescent="0.2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[1]Main!$C$6*$E$27</f>
        <v>88.552800000000005</v>
      </c>
      <c r="G3" s="49">
        <f>[1]Main!$C$8*$E$27</f>
        <v>138771.09287999998</v>
      </c>
      <c r="H3" s="49">
        <f>[1]Main!$C$11*$E$27</f>
        <v>2053.7999999999997</v>
      </c>
      <c r="I3" s="49">
        <f>[1]Main!$C$12*$E$27</f>
        <v>136717.29287999999</v>
      </c>
      <c r="J3" s="4" t="str">
        <f>[1]Main!$C$28</f>
        <v>FQ123</v>
      </c>
      <c r="K3" s="86">
        <f>[1]Main!$D$28</f>
        <v>44833</v>
      </c>
      <c r="L3" s="50">
        <f>[1]Main!$C$33</f>
        <v>26.920059874297088</v>
      </c>
      <c r="O3" s="56">
        <f>'[1]Financial Model'!$AD$21*1000*E27</f>
        <v>5078.639999999994</v>
      </c>
      <c r="P3" s="56">
        <f>'[1]Financial Model'!$AC$21*1000*E27</f>
        <v>4810.6799999999985</v>
      </c>
      <c r="Q3" s="56">
        <f>'[1]Financial Model'!$AB$21*1000*E27</f>
        <v>2132.7599999999998</v>
      </c>
      <c r="R3" s="51">
        <f>[1]Main!$C$34</f>
        <v>27.514079474032453</v>
      </c>
      <c r="S3" s="51">
        <f>[1]Main!$C$38</f>
        <v>37.504159682207103</v>
      </c>
      <c r="T3" s="51">
        <f>[1]Main!$C$36</f>
        <v>10.44139059537353</v>
      </c>
      <c r="U3" s="53"/>
      <c r="V3" s="53">
        <f>'[1]Financial Model'!$AD$25</f>
        <v>4.8767344739323759E-2</v>
      </c>
      <c r="W3" s="53">
        <f>'[1]Financial Model'!$AC$25</f>
        <v>0.19076009945726247</v>
      </c>
      <c r="X3" s="53">
        <f>'[1]Financial Model'!$AB$25</f>
        <v>-4.3817266150267264E-2</v>
      </c>
      <c r="Y3" s="53">
        <f>'[1]Financial Model'!$W$34</f>
        <v>0.44257901789233084</v>
      </c>
      <c r="Z3" s="53">
        <f>'[1]Financial Model'!$W$35</f>
        <v>0.13360132419011606</v>
      </c>
      <c r="AA3" s="53">
        <f>'[1]Financial Model'!$W$36</f>
        <v>0.11570899345787047</v>
      </c>
      <c r="AB3" s="53">
        <f>'[1]Financial Model'!$W$37</f>
        <v>0.19693654266958391</v>
      </c>
      <c r="AD3" s="56">
        <f>[1]Main!$C$26*E27</f>
        <v>8116.08</v>
      </c>
      <c r="AE3" s="53">
        <f>'[1]Financial Model'!$W$72</f>
        <v>0.44230482161516638</v>
      </c>
      <c r="AF3" s="53">
        <f>'[1]Financial Model'!$W$73</f>
        <v>0.14750593824228031</v>
      </c>
      <c r="AG3" s="53">
        <f>'[1]Financial Model'!$AD$85</f>
        <v>0.18026118604153288</v>
      </c>
      <c r="AJ3" s="4">
        <f>[1]Main!$C$24</f>
        <v>1964</v>
      </c>
      <c r="AK3" s="4" t="str">
        <f>[1]Main!$C$23</f>
        <v>Beaverton, OR</v>
      </c>
    </row>
    <row r="4" spans="1:38" x14ac:dyDescent="0.2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[2]Main!$C$6*$E$27</f>
        <v>27.787199999999999</v>
      </c>
      <c r="G4" s="49">
        <f>[2]Main!$C$8*$E$27</f>
        <v>10772.763993599998</v>
      </c>
      <c r="H4" s="49">
        <f>[2]Main!$C$11*$E$27</f>
        <v>-3919.4694</v>
      </c>
      <c r="I4" s="49">
        <f>[2]Main!$C$12*$E$27</f>
        <v>14692.2333936</v>
      </c>
      <c r="J4" s="4" t="str">
        <f>[2]Main!$C$28</f>
        <v>FQ123</v>
      </c>
      <c r="K4" s="86">
        <f>[2]Main!$D$28</f>
        <v>44860</v>
      </c>
      <c r="L4" s="50">
        <f>[2]Main!$C$33</f>
        <v>12.611393343865217</v>
      </c>
      <c r="O4" s="56">
        <f>'[2]Financial Model'!$AA$22*E27</f>
        <v>1164.9968399999991</v>
      </c>
      <c r="P4" s="56">
        <f>'[2]Financial Model'!$Z$22*$E$27</f>
        <v>342.59316000000115</v>
      </c>
      <c r="Q4" s="56">
        <f>'[2]Financial Model'!$Y$22*$E$27</f>
        <v>570.73716000000013</v>
      </c>
      <c r="R4" s="51">
        <f>[2]Main!$C$34</f>
        <v>9.3091188772666609</v>
      </c>
      <c r="T4" s="51">
        <f>[2]Main!$C$36</f>
        <v>4.156264394115186</v>
      </c>
      <c r="U4" s="53"/>
      <c r="V4" s="53">
        <f>'[2]Financial Model'!$AA$26</f>
        <v>0.28174654717062797</v>
      </c>
      <c r="X4" s="4"/>
      <c r="Y4" s="53">
        <f>'[2]Financial Model'!$AA$35</f>
        <v>0.54513731020621858</v>
      </c>
      <c r="Z4" s="53">
        <f>'[2]Financial Model'!$AA$36</f>
        <v>0.13783073519228486</v>
      </c>
      <c r="AA4" s="53">
        <f>'[2]Financial Model'!$AA$37</f>
        <v>0.1171191035146683</v>
      </c>
      <c r="AB4" s="53">
        <f>'[2]Financial Model'!$AA$38</f>
        <v>0.20153557290196375</v>
      </c>
      <c r="AD4" s="56">
        <f>[2]Main!$C$26*E27</f>
        <v>1966.7718</v>
      </c>
      <c r="AE4" s="53">
        <f>'[2]Financial Model'!$T$76</f>
        <v>0.9241949083593437</v>
      </c>
      <c r="AH4" s="57">
        <f>[2]Main!$C$25</f>
        <v>1297</v>
      </c>
      <c r="AI4" s="57"/>
      <c r="AJ4" s="4">
        <f>[2]Main!$C$24</f>
        <v>1899</v>
      </c>
      <c r="AK4" s="4" t="str">
        <f>[2]Main!$C$23</f>
        <v>Denver, US</v>
      </c>
    </row>
    <row r="5" spans="1:38" x14ac:dyDescent="0.2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4" t="str">
        <f>[3]Main!$C$28</f>
        <v>FY22</v>
      </c>
      <c r="L5" s="50">
        <f>[3]Main!$C$33</f>
        <v>12.142042391143919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10.795619188191891</v>
      </c>
      <c r="S5" s="51">
        <f>[3]Main!$C$38</f>
        <v>25.830987094523856</v>
      </c>
      <c r="T5" s="51">
        <f>[3]Main!$C$36</f>
        <v>7.2416158415841574</v>
      </c>
      <c r="U5" s="53"/>
      <c r="V5" s="53">
        <f>'[3]Financial Model'!$O$21</f>
        <v>0.3088218650973289</v>
      </c>
      <c r="W5" s="53">
        <f>'[3]Financial Model'!$N$21</f>
        <v>0</v>
      </c>
      <c r="X5" s="53">
        <f>'[3]Financial Model'!$M$21</f>
        <v>0</v>
      </c>
      <c r="Y5" s="53">
        <f>'[3]Financial Model'!$O$24</f>
        <v>0.42629542359324668</v>
      </c>
      <c r="Z5" s="53">
        <f>'[3]Financial Model'!$O$25</f>
        <v>0.19572407531507371</v>
      </c>
      <c r="AA5" s="53">
        <f>'[3]Financial Model'!$O$26</f>
        <v>0.14645798655396777</v>
      </c>
      <c r="AB5" s="53">
        <f>'[3]Financial Model'!$O$27</f>
        <v>0.1768922366662618</v>
      </c>
      <c r="AD5" s="56">
        <f>[3]Main!$C$26</f>
        <v>633</v>
      </c>
      <c r="AE5" s="53">
        <f>'[3]Financial Model'!$O$66</f>
        <v>0.17899050102439928</v>
      </c>
      <c r="AG5" s="53">
        <f>'[3]Financial Model'!$O$68</f>
        <v>0.13683823688363347</v>
      </c>
      <c r="AH5" s="57">
        <f>[3]Main!$C$25</f>
        <v>0</v>
      </c>
      <c r="AI5" s="57"/>
      <c r="AJ5" s="4">
        <f>[3]Main!$C$24</f>
        <v>1864</v>
      </c>
      <c r="AK5" s="4" t="str">
        <f>[3]Main!$C$23</f>
        <v>Leicester, UK</v>
      </c>
    </row>
    <row r="6" spans="1:38" x14ac:dyDescent="0.2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4" t="str">
        <f>[4]Main!$C$28</f>
        <v>H123</v>
      </c>
      <c r="K6" s="86">
        <f>[4]Main!$D$28</f>
        <v>44826</v>
      </c>
      <c r="L6" s="50">
        <f>[4]Main!$C$33</f>
        <v>23.847711511789132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15.457605489902271</v>
      </c>
      <c r="S6" s="52">
        <f>[4]Main!$C$38</f>
        <v>25.392383493891764</v>
      </c>
      <c r="T6" s="52">
        <f>[4]Main!$C$36</f>
        <v>2.3181761427250871</v>
      </c>
      <c r="U6" s="53"/>
      <c r="V6" s="53">
        <f>'[4]Financial Model'!$T$22</f>
        <v>0.38845199682194798</v>
      </c>
      <c r="W6" s="53">
        <f>'[4]Financial Model'!$S$22</f>
        <v>9.245925247103548E-3</v>
      </c>
      <c r="X6" s="53">
        <f>'[4]Financial Model'!$R$22</f>
        <v>0.29526474204078168</v>
      </c>
      <c r="Y6" s="53">
        <f>'[4]Financial Model'!$L$27</f>
        <v>0.48450691473710422</v>
      </c>
      <c r="Z6" s="53">
        <f>'[4]Financial Model'!$L$28</f>
        <v>7.5349131979810399E-2</v>
      </c>
      <c r="AA6" s="53">
        <f>'[4]Financial Model'!$L$29</f>
        <v>4.8957696747470719E-2</v>
      </c>
      <c r="AB6" s="53">
        <f>'[4]Financial Model'!$L$30</f>
        <v>0.27489104927924868</v>
      </c>
      <c r="AD6" s="56">
        <f>[4]Main!$C$26</f>
        <v>1428.5</v>
      </c>
      <c r="AE6" s="53">
        <f>'[4]Financial Model'!$L$72</f>
        <v>0.43322965787097423</v>
      </c>
      <c r="AG6" s="53">
        <f>'[4]Financial Model'!$L$75</f>
        <v>0.32332903284217196</v>
      </c>
      <c r="AH6" s="57">
        <f>[4]Main!$C$25</f>
        <v>3402</v>
      </c>
      <c r="AI6" s="57"/>
      <c r="AJ6" s="4">
        <f>[4]Main!$C$24</f>
        <v>1981</v>
      </c>
      <c r="AK6" s="4" t="str">
        <f>[4]Main!$C$23</f>
        <v>Bury, UK</v>
      </c>
    </row>
    <row r="7" spans="1:38" s="97" customFormat="1" x14ac:dyDescent="0.2">
      <c r="B7" s="98" t="s">
        <v>526</v>
      </c>
      <c r="C7" s="97" t="s">
        <v>527</v>
      </c>
      <c r="D7" s="99" t="s">
        <v>13</v>
      </c>
      <c r="E7" s="99" t="s">
        <v>15</v>
      </c>
      <c r="F7" s="100">
        <f>[5]Main!$C$6</f>
        <v>8.23</v>
      </c>
      <c r="G7" s="101">
        <f>[5]Main!$C$8</f>
        <v>3929.6604000000002</v>
      </c>
      <c r="H7" s="101">
        <f>[5]Main!$C$11</f>
        <v>0</v>
      </c>
      <c r="I7" s="101">
        <f>[5]Main!$C$12</f>
        <v>3929.6604000000002</v>
      </c>
      <c r="K7" s="99"/>
      <c r="Q7" s="99"/>
      <c r="U7" s="102"/>
      <c r="V7" s="99"/>
      <c r="W7" s="99"/>
      <c r="X7" s="99"/>
      <c r="AD7" s="101">
        <f>[5]Main!$C$26</f>
        <v>0</v>
      </c>
      <c r="AE7" s="99"/>
      <c r="AF7" s="99"/>
      <c r="AG7" s="99"/>
      <c r="AH7" s="99">
        <f>[5]Main!$C$25</f>
        <v>0</v>
      </c>
      <c r="AI7" s="99"/>
      <c r="AJ7" s="99">
        <f>[5]Main!$C$24</f>
        <v>1982</v>
      </c>
      <c r="AK7" s="99" t="str">
        <f>[5]Main!$C$23</f>
        <v>Mansfiled, UK</v>
      </c>
    </row>
    <row r="8" spans="1:38" x14ac:dyDescent="0.2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[6]Main!$C$6*E27</f>
        <v>6.9635999999999987</v>
      </c>
      <c r="G8" s="49">
        <f>[6]Main!$C$8*E27</f>
        <v>3163.7166791999998</v>
      </c>
      <c r="H8" s="49">
        <f>[6]Main!$C$11*$E$27</f>
        <v>151.42680000000007</v>
      </c>
      <c r="I8" s="49">
        <f>[6]Main!$C$12*$E$27</f>
        <v>3012.2898791999996</v>
      </c>
      <c r="J8" s="4" t="str">
        <f>[6]Main!$C$29</f>
        <v>FQ223</v>
      </c>
      <c r="K8" s="86">
        <f>[6]Main!$D$29</f>
        <v>44868</v>
      </c>
      <c r="L8" s="50">
        <f>[6]Main!$C$34</f>
        <v>24.790599499495396</v>
      </c>
      <c r="O8" s="56">
        <f>'[6]Financial Model'!$AA$20*$E$27</f>
        <v>-461.30867999999998</v>
      </c>
      <c r="P8" s="56">
        <f>'[6]Financial Model'!$Z$20*$E$27</f>
        <v>77.399279999999351</v>
      </c>
      <c r="Q8" s="56">
        <f>'[6]Financial Model'!$Y$20*$E$27</f>
        <v>-38.89368000000033</v>
      </c>
      <c r="R8" s="52">
        <f>[6]Main!$C$35</f>
        <v>26.576806095253207</v>
      </c>
      <c r="S8" s="52">
        <f>[6]Main!$C$41</f>
        <v>10.717736377270443</v>
      </c>
      <c r="T8" s="52">
        <f>[6]Main!$C$37</f>
        <v>2.1978320161703082</v>
      </c>
      <c r="U8" s="53"/>
      <c r="V8" s="53">
        <f>'[6]Financial Model'!$AA$24</f>
        <v>-0.15045474463142361</v>
      </c>
      <c r="W8" s="53">
        <f>'[6]Financial Model'!$Z$24</f>
        <v>1.4239238540510346E-2</v>
      </c>
      <c r="X8" s="53">
        <f>'[6]Financial Model'!$Y$24</f>
        <v>4.0876132736743287E-2</v>
      </c>
      <c r="Y8" s="53">
        <f>'[6]Financial Model'!$R$30</f>
        <v>0.45354902041762896</v>
      </c>
      <c r="Z8" s="53">
        <f>'[6]Financial Model'!$R$31</f>
        <v>7.5869583864132367E-2</v>
      </c>
      <c r="AA8" s="53">
        <f>'[6]Financial Model'!$R$32</f>
        <v>5.5229575223094414E-2</v>
      </c>
      <c r="AB8" s="53">
        <f>'[6]Financial Model'!$R$33</f>
        <v>0.20212746629846307</v>
      </c>
      <c r="AD8" s="56">
        <f>[6]Main!$C$27*E27</f>
        <v>907.55280000000005</v>
      </c>
      <c r="AE8" s="53">
        <f>'[6]Financial Model'!$R$79</f>
        <v>0.28968415021367022</v>
      </c>
      <c r="AF8" s="53">
        <f>'[6]Financial Model'!$R$80</f>
        <v>0.13204818974134369</v>
      </c>
      <c r="AG8" s="53">
        <f>'[6]Financial Model'!$AA$95</f>
        <v>0.20023255361795636</v>
      </c>
      <c r="AH8" s="57">
        <f>[6]Main!$C$26</f>
        <v>437</v>
      </c>
      <c r="AI8" s="57"/>
      <c r="AJ8" s="4">
        <f>[6]Main!$C$24</f>
        <v>1996</v>
      </c>
      <c r="AK8" s="4" t="str">
        <f>[6]Main!$C$23</f>
        <v>Baltimore, US</v>
      </c>
    </row>
    <row r="9" spans="1:38" x14ac:dyDescent="0.2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[7]Main!$C$6*E27</f>
        <v>21.8736</v>
      </c>
      <c r="G9" s="49">
        <f>[7]Main!$C$8*$E$27</f>
        <v>2026.8077759999999</v>
      </c>
      <c r="H9" s="49"/>
      <c r="I9" s="4"/>
      <c r="J9" s="59"/>
      <c r="K9" s="56"/>
      <c r="L9" s="56"/>
      <c r="M9" s="56"/>
      <c r="N9" s="56"/>
      <c r="U9" s="53"/>
      <c r="AD9" s="56"/>
      <c r="AJ9" s="4">
        <f>[7]Main!$C$24</f>
        <v>1970</v>
      </c>
      <c r="AK9" s="4" t="str">
        <f>[7]Main!$C$23</f>
        <v>Philadelphia, PA</v>
      </c>
    </row>
    <row r="10" spans="1:38" x14ac:dyDescent="0.2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[8]Main!$C$6*E27</f>
        <v>10.8528</v>
      </c>
      <c r="G10" s="49">
        <f>[8]Main!$C$8*E27</f>
        <v>1828.262688</v>
      </c>
      <c r="H10" s="49">
        <f>[8]Main!$C$11*$E$27</f>
        <v>-148.68</v>
      </c>
      <c r="I10" s="49">
        <f>[8]Main!$C$12*$E$27</f>
        <v>1976.9426880000001</v>
      </c>
      <c r="J10" s="4" t="str">
        <f>[8]Main!$C$28</f>
        <v>Q122</v>
      </c>
      <c r="L10" s="50">
        <f>[8]Main!$C$33</f>
        <v>74.149439193446582</v>
      </c>
      <c r="O10" s="56">
        <f>'[8]Financial Model'!$Z$16*E27</f>
        <v>352.48583999999988</v>
      </c>
      <c r="P10" s="56">
        <f>'[8]Financial Model'!$Y$16*F27</f>
        <v>-249.21071428571454</v>
      </c>
      <c r="Q10" s="4"/>
      <c r="R10" s="52">
        <f>[8]Main!$C$34</f>
        <v>5.160629036332355</v>
      </c>
      <c r="T10" s="52">
        <f>[8]Main!$C$36</f>
        <v>1.573748197766315</v>
      </c>
      <c r="U10" s="53"/>
      <c r="V10" s="53">
        <f>'[8]Financial Model'!$Z$20</f>
        <v>0.33299379683036578</v>
      </c>
      <c r="X10" s="4"/>
      <c r="Y10" s="53">
        <f>'[8]Financial Model'!$O$23</f>
        <v>0.36778425780328089</v>
      </c>
      <c r="Z10" s="53">
        <f>'[8]Financial Model'!$O$24</f>
        <v>3.9716142656608319E-2</v>
      </c>
      <c r="AA10" s="53">
        <f>'[8]Financial Model'!$O$25</f>
        <v>3.0084252969327211E-2</v>
      </c>
      <c r="AB10" s="53">
        <f>'[8]Financial Model'!$O$26</f>
        <v>0.23990612577230669</v>
      </c>
      <c r="AD10" s="56">
        <f>[8]Main!$C$26*E27</f>
        <v>572.96399999999994</v>
      </c>
      <c r="AE10" s="53">
        <f>'[8]Financial Model'!$O$71</f>
        <v>0.4615447248541884</v>
      </c>
      <c r="AH10" s="57">
        <f>[8]Main!$C$25</f>
        <v>1141</v>
      </c>
      <c r="AI10" s="57"/>
      <c r="AJ10" s="4">
        <f>[8]Main!$C$24</f>
        <v>1977</v>
      </c>
      <c r="AK10" s="4" t="str">
        <f>[8]Main!$C$23</f>
        <v>Pittsburgh, US</v>
      </c>
    </row>
    <row r="11" spans="1:38" x14ac:dyDescent="0.2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85" t="str">
        <f>[9]Main!$C$28</f>
        <v>FY22</v>
      </c>
      <c r="K11" s="86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-22.755294702597336</v>
      </c>
      <c r="S11" s="52">
        <f>[9]Main!$C$41</f>
        <v>5.4526753959501493</v>
      </c>
      <c r="T11" s="52">
        <f>[9]Main!$C$33</f>
        <v>0.71196980581064573</v>
      </c>
      <c r="U11" s="87">
        <f>'[9]Financial Model'!$T$19</f>
        <v>6.6487661424370348E-3</v>
      </c>
      <c r="V11" s="87">
        <f>'[9]Financial Model'!$S$19</f>
        <v>0.19825340891680709</v>
      </c>
      <c r="W11" s="53">
        <f>'[9]Financial Model'!$R$19</f>
        <v>0.19389061642582761</v>
      </c>
      <c r="X11" s="53">
        <f>'[9]Financial Model'!$Q$19</f>
        <v>0.13080709882927222</v>
      </c>
      <c r="Y11" s="53">
        <f>'[9]Financial Model'!$T$22</f>
        <v>0.43630128286548964</v>
      </c>
      <c r="Z11" s="53">
        <f>'[9]Financial Model'!$T$23</f>
        <v>-2.4895211482281444E-3</v>
      </c>
      <c r="AA11" s="53">
        <f>'[9]Financial Model'!$T$24</f>
        <v>-7.8242093230026909E-3</v>
      </c>
      <c r="AB11" s="53">
        <f>'[9]Financial Model'!$T$25</f>
        <v>3.4482758620689558E-2</v>
      </c>
      <c r="AD11" s="56">
        <f>[9]Main!$C$26</f>
        <v>1078.4000000000001</v>
      </c>
      <c r="AE11" s="53">
        <f>'[9]Financial Model'!$T$60</f>
        <v>0.33614174203940039</v>
      </c>
      <c r="AF11" s="53">
        <f>'[9]Financial Model'!$L$61</f>
        <v>9.3268450932684654E-2</v>
      </c>
      <c r="AG11" s="53">
        <f>'[9]Financial Model'!$T$76</f>
        <v>0.27394893941318432</v>
      </c>
      <c r="AH11" s="57">
        <v>0</v>
      </c>
      <c r="AI11" s="134">
        <f>[9]Main!$C$42</f>
        <v>3.5843551695103639</v>
      </c>
      <c r="AJ11" s="4">
        <f>[9]Main!$C$24</f>
        <v>2000</v>
      </c>
      <c r="AK11" s="85" t="str">
        <f>[9]Main!$C$23</f>
        <v>London, UK</v>
      </c>
    </row>
    <row r="12" spans="1:38" x14ac:dyDescent="0.2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[10]Main!$C$6*E27</f>
        <v>15.7752</v>
      </c>
      <c r="G12" s="49">
        <f>[10]Main!$C$8*E27</f>
        <v>795.71686320000003</v>
      </c>
      <c r="H12" s="49">
        <f>[10]Main!$C$11*E27</f>
        <v>55.219080000000019</v>
      </c>
      <c r="I12" s="49">
        <f>[10]Main!$C$12*E27</f>
        <v>740.49778320000007</v>
      </c>
      <c r="J12" s="4" t="str">
        <f>[10]Main!$C$27</f>
        <v>Q222</v>
      </c>
      <c r="K12" s="86">
        <f>[10]Main!$D$27</f>
        <v>44798</v>
      </c>
      <c r="L12" s="50">
        <f>[10]Main!$C$32</f>
        <v>-1.1403242455522447</v>
      </c>
      <c r="M12" s="50">
        <f>[10]Main!$C$38</f>
        <v>3.3517546100908753</v>
      </c>
      <c r="N12" s="50"/>
      <c r="O12" s="56">
        <f>'[10]Financial Model'!$X$18*E27</f>
        <v>220.92839999999975</v>
      </c>
      <c r="P12" s="56">
        <f>'[10]Financial Model'!$W$18*$E$27</f>
        <v>-95.777640000000133</v>
      </c>
      <c r="Q12" s="56">
        <f>'[10]Financial Model'!$V$18*$E$27</f>
        <v>33.060720000000515</v>
      </c>
      <c r="R12" s="52">
        <f>[10]Main!$C$33</f>
        <v>-59.384665735624246</v>
      </c>
      <c r="S12" s="52">
        <f>[10]Main!$C$37</f>
        <v>4.2554718831983633</v>
      </c>
      <c r="T12" s="52">
        <f>[10]Main!$C$35</f>
        <v>1.4078524676899669</v>
      </c>
      <c r="U12" s="53"/>
      <c r="V12" s="53">
        <f>'[10]Financial Model'!$X$22</f>
        <v>0.18793978595910144</v>
      </c>
      <c r="W12" s="53">
        <f>'[10]Financial Model'!$W$22</f>
        <v>-0.137366539399013</v>
      </c>
      <c r="X12" s="53">
        <f>'[10]Financial Model'!$V$22</f>
        <v>0</v>
      </c>
      <c r="Y12" s="53">
        <f>'[10]Financial Model'!$P$27</f>
        <v>0.57868116771892864</v>
      </c>
      <c r="Z12" s="53">
        <f>'[10]Financial Model'!$P$28</f>
        <v>-2.721431490353244E-3</v>
      </c>
      <c r="AA12" s="53">
        <f>'[10]Financial Model'!$P$30</f>
        <v>-2.0909437566684987E-2</v>
      </c>
      <c r="AB12" s="53">
        <f>'[10]Financial Model'!$P$31</f>
        <v>-0.61857707509881543</v>
      </c>
      <c r="AD12" s="56">
        <f>'[10]Financial Model'!$P$41*E27</f>
        <v>594.74015999999995</v>
      </c>
      <c r="AE12" s="53">
        <f>'[10]Financial Model'!$X$69</f>
        <v>-0.25498478543021663</v>
      </c>
      <c r="AF12" s="53">
        <f>'[10]Financial Model'!$P$67</f>
        <v>0.25868695667632569</v>
      </c>
      <c r="AH12" s="57">
        <f>[10]Main!$C$25</f>
        <v>734</v>
      </c>
      <c r="AI12" s="57"/>
      <c r="AJ12" s="4">
        <f>[10]Main!$C$24</f>
        <v>1892</v>
      </c>
      <c r="AK12" s="4" t="str">
        <f>[10]Main!$C$23</f>
        <v>Ohio, US</v>
      </c>
    </row>
    <row r="13" spans="1:38" x14ac:dyDescent="0.2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4" t="str">
        <f>[11]Main!$C$27</f>
        <v>H123</v>
      </c>
      <c r="K13" s="86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1.2563422279792744</v>
      </c>
      <c r="U13" s="53"/>
      <c r="V13" s="53">
        <f>'[11]Financial Model'!$T$18</f>
        <v>0.13607975706182329</v>
      </c>
      <c r="W13" s="53">
        <f>'[11]Financial Model'!$S$18</f>
        <v>0.4133402867980267</v>
      </c>
      <c r="X13" s="53">
        <f>'[11]Financial Model'!$R$18</f>
        <v>0.44106334313588214</v>
      </c>
      <c r="Y13" s="53">
        <f>'[11]Financial Model'!$M$21</f>
        <v>0.52527198549410703</v>
      </c>
      <c r="Z13" s="53">
        <f>'[11]Financial Model'!$M$22</f>
        <v>-1.3372620126926577E-2</v>
      </c>
      <c r="AA13" s="53">
        <f>'[11]Financial Model'!$M$23</f>
        <v>-1.6659111514052596E-2</v>
      </c>
      <c r="AB13" s="53">
        <f>'[11]Financial Model'!$M$24</f>
        <v>3.2894736842105241E-2</v>
      </c>
      <c r="AD13" s="56">
        <f>[11]Main!$C$25</f>
        <v>269.7</v>
      </c>
      <c r="AE13" s="53">
        <f>'[11]Financial Model'!$M$60</f>
        <v>5.6818181818181879E-2</v>
      </c>
      <c r="AF13" s="53">
        <f>'[11]Financial Model'!$M$61</f>
        <v>-3.4717251252684322E-2</v>
      </c>
      <c r="AG13" s="53">
        <f>'[11]Financial Model'!$M$75</f>
        <v>0.30564369900271987</v>
      </c>
      <c r="AH13" s="53">
        <f>'[6]Financial Model'!$Y$24</f>
        <v>4.0876132736743287E-2</v>
      </c>
      <c r="AI13" s="53"/>
      <c r="AJ13" s="4">
        <f>[11]Main!$C$24</f>
        <v>2006</v>
      </c>
      <c r="AK13" s="4" t="str">
        <f>[11]Main!$C$23</f>
        <v>Manchester, UK</v>
      </c>
    </row>
    <row r="14" spans="1:38" s="109" customFormat="1" x14ac:dyDescent="0.2">
      <c r="B14" s="110" t="s">
        <v>391</v>
      </c>
      <c r="C14" s="109" t="s">
        <v>392</v>
      </c>
      <c r="D14" s="111" t="s">
        <v>13</v>
      </c>
      <c r="E14" s="111" t="s">
        <v>15</v>
      </c>
      <c r="F14" s="112">
        <f>[12]Main!$C$6</f>
        <v>1.0900000000000001</v>
      </c>
      <c r="G14" s="113">
        <f>[12]Main!$C$8</f>
        <v>201.23580000000001</v>
      </c>
      <c r="H14" s="114">
        <f>[12]Main!$C$11</f>
        <v>14.5</v>
      </c>
      <c r="I14" s="114">
        <f>[12]Main!$C$12</f>
        <v>186.73580000000001</v>
      </c>
      <c r="J14" s="111" t="str">
        <f>[12]Main!$C$28</f>
        <v>FY22</v>
      </c>
      <c r="K14" s="111"/>
      <c r="Q14" s="111"/>
      <c r="U14" s="115"/>
      <c r="V14" s="115">
        <f>'[12]Financial Model'!$T$23</f>
        <v>0.20588400900900905</v>
      </c>
      <c r="W14" s="111"/>
      <c r="X14" s="111"/>
      <c r="Y14" s="115">
        <f>'[12]Financial Model'!$T$26</f>
        <v>0.55486890948567691</v>
      </c>
      <c r="Z14" s="115">
        <f>'[12]Financial Model'!$T$27</f>
        <v>-8.0487007680993719E-2</v>
      </c>
      <c r="AA14" s="115">
        <f>'[12]Financial Model'!$T$28</f>
        <v>-8.2866014521513875E-2</v>
      </c>
      <c r="AB14" s="115">
        <f>'[12]Financial Model'!$T$29</f>
        <v>0.19258416742493159</v>
      </c>
      <c r="AD14" s="116">
        <f>[12]Main!$C$26</f>
        <v>103.071</v>
      </c>
      <c r="AE14" s="115">
        <f>'[12]Financial Model'!$T$74</f>
        <v>0.17328795191694746</v>
      </c>
      <c r="AF14" s="111"/>
      <c r="AG14" s="115">
        <f>'[12]Financial Model'!$T$76</f>
        <v>0.24063455746737328</v>
      </c>
      <c r="AH14" s="111">
        <f>[12]Main!$C$25</f>
        <v>85</v>
      </c>
      <c r="AI14" s="111"/>
      <c r="AJ14" s="111">
        <f>[12]Main!$C$24</f>
        <v>1987</v>
      </c>
      <c r="AK14" s="111" t="str">
        <f>[12]Main!$C$23</f>
        <v>London, UK</v>
      </c>
      <c r="AL14" s="109" t="s">
        <v>539</v>
      </c>
    </row>
    <row r="15" spans="1:38" x14ac:dyDescent="0.2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1.3308</v>
      </c>
      <c r="G15" s="49">
        <f>[13]Main!$C$8</f>
        <v>108.96466901759999</v>
      </c>
      <c r="H15" s="49">
        <f>[13]Main!$C$11</f>
        <v>8.3000000000000007</v>
      </c>
      <c r="I15" s="49">
        <f>[13]Main!$C$12</f>
        <v>100.66466901759999</v>
      </c>
      <c r="J15" s="4" t="str">
        <f>[13]Main!$C$29</f>
        <v>FY22</v>
      </c>
      <c r="K15" s="86">
        <f>[13]Main!$D$29</f>
        <v>44841</v>
      </c>
      <c r="L15" s="50">
        <f>[13]Main!$C$34</f>
        <v>4.4345669170748829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4.8002056835947062</v>
      </c>
      <c r="S15" s="51">
        <f>[13]Main!$C$39</f>
        <v>-3.0239089360221629</v>
      </c>
      <c r="T15" s="51">
        <f>[13]Main!$C$37</f>
        <v>1.048745611333975</v>
      </c>
      <c r="U15" s="53">
        <f xml:space="preserve"> '[13]Financial Model'!$T$21</f>
        <v>9.6205718395971918E-2</v>
      </c>
      <c r="V15" s="53">
        <f>'[13]Financial Model'!$S$21</f>
        <v>-0.21053378762066999</v>
      </c>
      <c r="W15" s="53">
        <f>'[13]Financial Model'!$R$21</f>
        <v>-0.19192382700470356</v>
      </c>
      <c r="X15" s="53">
        <f>'[13]Financial Model'!$Q$21</f>
        <v>-3.4403669724769603E-4</v>
      </c>
      <c r="Y15" s="53">
        <f>'[13]Financial Model'!$J$33</f>
        <v>0.5523088023088023</v>
      </c>
      <c r="Z15" s="53">
        <f>'[13]Financial Model'!T34</f>
        <v>4.2486876640420002E-2</v>
      </c>
      <c r="AA15" s="53">
        <f>'[13]Financial Model'!T35</f>
        <v>3.7237532808399004E-2</v>
      </c>
      <c r="AB15" s="53">
        <f>'[13]Financial Model'!T36</f>
        <v>-0.26815642458100508</v>
      </c>
      <c r="AD15" s="56">
        <f>[13]Main!$C$27</f>
        <v>132.69999999999999</v>
      </c>
      <c r="AE15" s="53">
        <f>'[13]Financial Model'!T79</f>
        <v>-0.10519217801753222</v>
      </c>
      <c r="AF15" s="53">
        <f>'[13]Financial Model'!$K$80</f>
        <v>-0.16750313676286088</v>
      </c>
      <c r="AG15" s="53">
        <f>'[13]Financial Model'!$T$82</f>
        <v>0.2176837270341207</v>
      </c>
      <c r="AH15" s="57">
        <f>[13]Main!$C$26</f>
        <v>220</v>
      </c>
      <c r="AI15" s="134">
        <f>[13]Main!$C$42</f>
        <v>4.097646421860806</v>
      </c>
      <c r="AJ15" s="4">
        <f>[13]Main!$C$25</f>
        <v>1985</v>
      </c>
      <c r="AK15" s="4" t="str">
        <f>[13]Main!$C$24</f>
        <v>Cheltenham, UK</v>
      </c>
    </row>
    <row r="16" spans="1:38" s="92" customFormat="1" x14ac:dyDescent="0.2">
      <c r="B16" s="93" t="s">
        <v>445</v>
      </c>
      <c r="C16" s="92" t="s">
        <v>446</v>
      </c>
      <c r="D16" s="94" t="s">
        <v>489</v>
      </c>
      <c r="E16" s="94" t="s">
        <v>15</v>
      </c>
      <c r="F16" s="105">
        <f>[14]Main!$C$6</f>
        <v>9.2200000000000004E-2</v>
      </c>
      <c r="G16" s="103">
        <f>[14]Main!$C$8</f>
        <v>10.16966</v>
      </c>
      <c r="H16" s="103">
        <f>[14]Main!$C$11</f>
        <v>-6.5050000000000026</v>
      </c>
      <c r="I16" s="103">
        <f>[14]Main!$C$12</f>
        <v>16.674660000000003</v>
      </c>
      <c r="J16" s="106" t="str">
        <f>[14]Main!$C$28</f>
        <v>H122</v>
      </c>
      <c r="K16" s="107">
        <f>[14]Main!$D$28</f>
        <v>44600</v>
      </c>
      <c r="L16" s="129">
        <f>[14]Main!$C$36</f>
        <v>8.2793743793445529</v>
      </c>
      <c r="M16" s="96"/>
      <c r="N16" s="96"/>
      <c r="O16" s="96">
        <f>'[14]Financial Model'!$S$15</f>
        <v>0.89299999999999291</v>
      </c>
      <c r="P16" s="96">
        <f>'[14]Financial Model'!$R$15</f>
        <v>-20.27600000000001</v>
      </c>
      <c r="R16" s="108">
        <f>[14]Main!$C$37</f>
        <v>5.0560966752336345</v>
      </c>
      <c r="S16" s="108">
        <f>'[14]Financial Model'!$S$80</f>
        <v>3.3990470378499706</v>
      </c>
      <c r="T16" s="108">
        <f>[14]Main!$C$33</f>
        <v>0.20742534761796225</v>
      </c>
      <c r="U16" s="94"/>
      <c r="V16" s="95">
        <f>'[14]Financial Model'!$S$19</f>
        <v>4.2969896440400834E-2</v>
      </c>
      <c r="W16" s="94"/>
      <c r="Y16" s="95">
        <f>'[14]Financial Model'!$K$22</f>
        <v>0.50353090223741115</v>
      </c>
      <c r="Z16" s="95">
        <f>'[14]Financial Model'!$K$23</f>
        <v>2.5932384981739429E-2</v>
      </c>
      <c r="AA16" s="95">
        <f>'[14]Financial Model'!$K$24</f>
        <v>1.7767906718489747E-2</v>
      </c>
      <c r="AB16" s="95">
        <f>'[14]Financial Model'!$K$25</f>
        <v>0.10901960784313716</v>
      </c>
      <c r="AD16" s="96">
        <f>[14]Main!$C$26</f>
        <v>61.878</v>
      </c>
      <c r="AE16" s="95">
        <f>'[14]Financial Model'!$K$66</f>
        <v>0.44899775196702874</v>
      </c>
      <c r="AF16" s="95">
        <f>'[14]Financial Model'!$K$67</f>
        <v>0.32717055593685651</v>
      </c>
      <c r="AG16" s="95">
        <f>'[14]Financial Model'!$S$82</f>
        <v>0.23428321616827549</v>
      </c>
      <c r="AJ16" s="94">
        <f>[14]Main!$C$24</f>
        <v>1989</v>
      </c>
      <c r="AK16" s="92" t="str">
        <f>[14]Main!$C$23</f>
        <v>Market Harborough</v>
      </c>
      <c r="AL16" s="92" t="s">
        <v>540</v>
      </c>
    </row>
    <row r="17" spans="2:37" x14ac:dyDescent="0.2">
      <c r="B17" s="3"/>
      <c r="F17" s="7"/>
      <c r="G17" s="49"/>
      <c r="H17" s="49"/>
      <c r="I17" s="49"/>
      <c r="L17" s="50"/>
      <c r="R17" s="51"/>
      <c r="S17" s="51"/>
      <c r="T17" s="51"/>
      <c r="U17" s="51"/>
      <c r="V17" s="53"/>
      <c r="W17" s="53"/>
      <c r="X17" s="53"/>
      <c r="Y17" s="53"/>
      <c r="Z17" s="53"/>
      <c r="AA17" s="53"/>
      <c r="AB17" s="53"/>
      <c r="AD17" s="55"/>
      <c r="AE17" s="53"/>
      <c r="AH17" s="57"/>
      <c r="AI17" s="57"/>
      <c r="AJ17" s="4"/>
      <c r="AK17" s="4"/>
    </row>
    <row r="18" spans="2:37" x14ac:dyDescent="0.2">
      <c r="B18" s="1" t="s">
        <v>12</v>
      </c>
      <c r="C18" s="1" t="s">
        <v>494</v>
      </c>
      <c r="D18" s="4" t="s">
        <v>13</v>
      </c>
      <c r="E18" s="4" t="s">
        <v>15</v>
      </c>
      <c r="G18" s="49"/>
      <c r="H18" s="49"/>
      <c r="I18" s="49"/>
      <c r="L18" s="56"/>
      <c r="M18" s="5"/>
      <c r="N18" s="5"/>
    </row>
    <row r="19" spans="2:37" x14ac:dyDescent="0.2">
      <c r="B19" s="1" t="s">
        <v>214</v>
      </c>
      <c r="C19" s="1" t="s">
        <v>488</v>
      </c>
      <c r="D19" s="4" t="s">
        <v>489</v>
      </c>
      <c r="E19" s="4" t="s">
        <v>15</v>
      </c>
      <c r="F19" s="7"/>
      <c r="G19" s="49"/>
      <c r="H19" s="49"/>
      <c r="I19" s="4"/>
      <c r="J19" s="1"/>
      <c r="K19" s="1"/>
      <c r="L19" s="56"/>
      <c r="M19" s="56"/>
      <c r="N19" s="56"/>
    </row>
    <row r="20" spans="2:37" x14ac:dyDescent="0.2">
      <c r="B20" s="1" t="s">
        <v>503</v>
      </c>
      <c r="C20" s="1" t="s">
        <v>504</v>
      </c>
      <c r="D20" s="4" t="s">
        <v>489</v>
      </c>
      <c r="G20" s="49"/>
      <c r="H20" s="49"/>
      <c r="I20" s="85"/>
      <c r="J20" s="1"/>
      <c r="K20" s="1"/>
      <c r="L20" s="56"/>
      <c r="M20" s="56"/>
      <c r="N20" s="56"/>
    </row>
    <row r="21" spans="2:37" x14ac:dyDescent="0.2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2" spans="2:37" x14ac:dyDescent="0.2">
      <c r="B22" s="1" t="s">
        <v>511</v>
      </c>
      <c r="C22" s="1" t="s">
        <v>512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</row>
    <row r="23" spans="2:37" x14ac:dyDescent="0.2">
      <c r="B23" s="3" t="s">
        <v>541</v>
      </c>
      <c r="C23" s="1" t="s">
        <v>260</v>
      </c>
      <c r="D23" s="4" t="s">
        <v>489</v>
      </c>
      <c r="E23" s="4" t="s">
        <v>15</v>
      </c>
      <c r="F23" s="54">
        <f>[15]Main!$C$6</f>
        <v>20.806000000000001</v>
      </c>
      <c r="G23" s="49">
        <f>[15]Main!$C$8</f>
        <v>8041.1028800000004</v>
      </c>
      <c r="I23" s="85">
        <f>[15]Main!$C$12</f>
        <v>8041.1028800000004</v>
      </c>
      <c r="J23" s="1"/>
      <c r="K23" s="1"/>
      <c r="M23" s="56"/>
      <c r="N23" s="56"/>
      <c r="AJ23" s="4">
        <f>[15]Main!$C$24</f>
        <v>1856</v>
      </c>
      <c r="AK23" s="4" t="str">
        <f>[15]Main!$C$23</f>
        <v>London, UK</v>
      </c>
    </row>
    <row r="24" spans="2:37" x14ac:dyDescent="0.2">
      <c r="B24" s="1" t="s">
        <v>542</v>
      </c>
      <c r="C24" s="1" t="s">
        <v>543</v>
      </c>
      <c r="G24" s="49"/>
      <c r="I24" s="4"/>
      <c r="J24" s="1"/>
      <c r="K24" s="1"/>
      <c r="M24" s="56"/>
      <c r="N24" s="56"/>
    </row>
    <row r="25" spans="2:37" x14ac:dyDescent="0.2">
      <c r="G25" s="49"/>
      <c r="I25" s="4"/>
      <c r="J25" s="1"/>
      <c r="K25" s="1"/>
      <c r="M25" s="56"/>
      <c r="N25" s="56"/>
    </row>
    <row r="26" spans="2:37" x14ac:dyDescent="0.2">
      <c r="D26" s="131" t="s">
        <v>495</v>
      </c>
      <c r="E26" s="132"/>
      <c r="F26" s="42" t="s">
        <v>496</v>
      </c>
      <c r="G26" s="49"/>
      <c r="I26" s="4"/>
      <c r="J26" s="1"/>
      <c r="K26" s="1"/>
    </row>
    <row r="27" spans="2:37" x14ac:dyDescent="0.2">
      <c r="D27" s="43" t="s">
        <v>497</v>
      </c>
      <c r="E27" s="44">
        <v>0.84</v>
      </c>
      <c r="F27" s="45">
        <f>1/E27</f>
        <v>1.1904761904761905</v>
      </c>
      <c r="G27" s="49"/>
      <c r="I27" s="4"/>
      <c r="J27" s="1"/>
      <c r="K27" s="1"/>
    </row>
    <row r="28" spans="2:37" x14ac:dyDescent="0.2">
      <c r="D28" s="46" t="s">
        <v>498</v>
      </c>
      <c r="E28" s="48">
        <v>0.87</v>
      </c>
      <c r="F28" s="47">
        <f>1/E28</f>
        <v>1.1494252873563218</v>
      </c>
      <c r="G28" s="49"/>
      <c r="I28" s="4"/>
      <c r="J28" s="1"/>
      <c r="K28" s="1"/>
    </row>
    <row r="29" spans="2:37" x14ac:dyDescent="0.2">
      <c r="G29" s="49"/>
    </row>
    <row r="30" spans="2:37" x14ac:dyDescent="0.2">
      <c r="G30" s="49"/>
    </row>
    <row r="31" spans="2:37" x14ac:dyDescent="0.2">
      <c r="G31" s="49"/>
    </row>
    <row r="32" spans="2:37" x14ac:dyDescent="0.2">
      <c r="G32" s="49"/>
    </row>
    <row r="33" spans="7:7" x14ac:dyDescent="0.2">
      <c r="G33" s="49"/>
    </row>
  </sheetData>
  <mergeCells count="2">
    <mergeCell ref="D26:E26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3" r:id="rId15" xr:uid="{CA134008-3168-4DEA-918C-4560BFF458AB}"/>
  </hyperlinks>
  <pageMargins left="0.7" right="0.7" top="0.75" bottom="0.75" header="0.3" footer="0.3"/>
  <pageSetup paperSize="256" orientation="portrait" horizontalDpi="203" verticalDpi="203" r:id="rId16"/>
  <ignoredErrors>
    <ignoredError sqref="AH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2022-07-18T13:42:24Z</dcterms:created>
  <dcterms:modified xsi:type="dcterms:W3CDTF">2022-11-20T13:35:43Z</dcterms:modified>
</cp:coreProperties>
</file>