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4FE42EAC-9FD6-4906-B4D0-7C5FFCA3F10C}" xr6:coauthVersionLast="36" xr6:coauthVersionMax="47" xr10:uidLastSave="{00000000-0000-0000-0000-000000000000}"/>
  <bookViews>
    <workbookView xWindow="-120" yWindow="-120" windowWidth="29040" windowHeight="15720" activeTab="1" xr2:uid="{F4CD3BB1-8F16-4063-8DA3-9F14AE14E5E0}"/>
  </bookViews>
  <sheets>
    <sheet name="Main" sheetId="1" r:id="rId1"/>
    <sheet name="Financial Model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L15" i="2" l="1"/>
  <c r="AM15" i="2" s="1"/>
  <c r="AN15" i="2" s="1"/>
  <c r="AO15" i="2" s="1"/>
  <c r="AP15" i="2" s="1"/>
  <c r="AQ15" i="2" s="1"/>
  <c r="AR15" i="2" s="1"/>
  <c r="AS15" i="2" s="1"/>
  <c r="AT15" i="2" s="1"/>
  <c r="AU15" i="2" s="1"/>
  <c r="AV15" i="2" s="1"/>
  <c r="AW15" i="2" s="1"/>
  <c r="AX15" i="2" s="1"/>
  <c r="AY15" i="2" s="1"/>
  <c r="AZ15" i="2" s="1"/>
  <c r="BA15" i="2" s="1"/>
  <c r="BB15" i="2" s="1"/>
  <c r="BC15" i="2" s="1"/>
  <c r="BD15" i="2" s="1"/>
  <c r="BE15" i="2" s="1"/>
  <c r="BF15" i="2" s="1"/>
  <c r="BG15" i="2" s="1"/>
  <c r="BH15" i="2" s="1"/>
  <c r="BI15" i="2" s="1"/>
  <c r="BJ15" i="2" s="1"/>
  <c r="BK15" i="2" s="1"/>
  <c r="BL15" i="2" s="1"/>
  <c r="BM15" i="2" s="1"/>
  <c r="BN15" i="2" s="1"/>
  <c r="BO15" i="2" s="1"/>
  <c r="BP15" i="2" s="1"/>
  <c r="BQ15" i="2" s="1"/>
  <c r="BR15" i="2" s="1"/>
  <c r="BS15" i="2" s="1"/>
  <c r="BT15" i="2" s="1"/>
  <c r="BU15" i="2" s="1"/>
  <c r="BV15" i="2" s="1"/>
  <c r="BW15" i="2" s="1"/>
  <c r="BX15" i="2" s="1"/>
  <c r="BY15" i="2" s="1"/>
  <c r="BZ15" i="2" s="1"/>
  <c r="CA15" i="2" s="1"/>
  <c r="CB15" i="2" s="1"/>
  <c r="CC15" i="2" s="1"/>
  <c r="CD15" i="2" s="1"/>
  <c r="CE15" i="2" s="1"/>
  <c r="CF15" i="2" s="1"/>
  <c r="CG15" i="2" s="1"/>
  <c r="CH15" i="2" s="1"/>
  <c r="CI15" i="2" s="1"/>
  <c r="CJ15" i="2" s="1"/>
  <c r="CK15" i="2" s="1"/>
  <c r="CL15" i="2" s="1"/>
  <c r="CM15" i="2" s="1"/>
  <c r="CN15" i="2" s="1"/>
  <c r="CO15" i="2" s="1"/>
  <c r="CP15" i="2" s="1"/>
  <c r="CQ15" i="2" s="1"/>
  <c r="CR15" i="2" s="1"/>
  <c r="CS15" i="2" s="1"/>
  <c r="CT15" i="2" s="1"/>
  <c r="CU15" i="2" s="1"/>
  <c r="CV15" i="2" s="1"/>
  <c r="CW15" i="2" s="1"/>
  <c r="CX15" i="2" s="1"/>
  <c r="CY15" i="2" s="1"/>
  <c r="CZ15" i="2" s="1"/>
  <c r="DA15" i="2" s="1"/>
  <c r="DB15" i="2" s="1"/>
  <c r="DC15" i="2" s="1"/>
  <c r="DD15" i="2" s="1"/>
  <c r="DE15" i="2" s="1"/>
  <c r="DF15" i="2" s="1"/>
  <c r="DG15" i="2" s="1"/>
  <c r="DH15" i="2" s="1"/>
  <c r="DI15" i="2" s="1"/>
  <c r="DJ15" i="2" s="1"/>
  <c r="DK15" i="2" s="1"/>
  <c r="DL15" i="2" s="1"/>
  <c r="DM15" i="2" s="1"/>
  <c r="AK15" i="2"/>
  <c r="AN24" i="2"/>
  <c r="AN23" i="2" l="1"/>
  <c r="AN25" i="2" s="1"/>
  <c r="AN26" i="2" s="1"/>
  <c r="AN27" i="2" s="1"/>
  <c r="AJ24" i="2" l="1"/>
  <c r="AI24" i="2"/>
  <c r="AH24" i="2"/>
  <c r="AG24" i="2"/>
  <c r="AF24" i="2"/>
  <c r="AE24" i="2"/>
  <c r="AD24" i="2"/>
  <c r="AJ16" i="2"/>
  <c r="AI16" i="2"/>
  <c r="AH16" i="2"/>
  <c r="AG16" i="2"/>
  <c r="AF16" i="2"/>
  <c r="AE16" i="2"/>
  <c r="AD16" i="2"/>
  <c r="AE17" i="2"/>
  <c r="AF17" i="2" s="1"/>
  <c r="AG17" i="2" s="1"/>
  <c r="AH17" i="2" s="1"/>
  <c r="AI17" i="2" s="1"/>
  <c r="AJ17" i="2" s="1"/>
  <c r="AD17" i="2"/>
  <c r="AJ15" i="2"/>
  <c r="AI15" i="2"/>
  <c r="AH15" i="2"/>
  <c r="AG15" i="2"/>
  <c r="AF15" i="2"/>
  <c r="AE15" i="2"/>
  <c r="AD15" i="2"/>
  <c r="AJ14" i="2"/>
  <c r="AI14" i="2"/>
  <c r="AH14" i="2"/>
  <c r="AG14" i="2"/>
  <c r="AF14" i="2"/>
  <c r="AE14" i="2"/>
  <c r="AD14" i="2"/>
  <c r="AJ13" i="2"/>
  <c r="AI13" i="2"/>
  <c r="AH13" i="2"/>
  <c r="AG13" i="2"/>
  <c r="AF13" i="2"/>
  <c r="AE13" i="2"/>
  <c r="AD13" i="2"/>
  <c r="AD12" i="2"/>
  <c r="AD11" i="2"/>
  <c r="AE10" i="2"/>
  <c r="AD10" i="2"/>
  <c r="AJ23" i="2"/>
  <c r="AI23" i="2"/>
  <c r="AH23" i="2"/>
  <c r="AG23" i="2"/>
  <c r="AF23" i="2"/>
  <c r="AE23" i="2"/>
  <c r="AD23" i="2"/>
  <c r="AJ9" i="2"/>
  <c r="AI9" i="2"/>
  <c r="AH9" i="2"/>
  <c r="AG9" i="2"/>
  <c r="AF9" i="2"/>
  <c r="AE9" i="2"/>
  <c r="AD9" i="2"/>
  <c r="AJ7" i="2"/>
  <c r="AI7" i="2"/>
  <c r="AH7" i="2"/>
  <c r="AG7" i="2"/>
  <c r="AF7" i="2"/>
  <c r="AE7" i="2"/>
  <c r="AD7" i="2"/>
  <c r="AE8" i="2"/>
  <c r="AD8" i="2"/>
  <c r="AJ6" i="2"/>
  <c r="AI6" i="2"/>
  <c r="AH6" i="2"/>
  <c r="AG6" i="2"/>
  <c r="AF6" i="2"/>
  <c r="AE6" i="2"/>
  <c r="AJ5" i="2"/>
  <c r="AI5" i="2"/>
  <c r="AH5" i="2"/>
  <c r="AG5" i="2"/>
  <c r="AF5" i="2"/>
  <c r="AE5" i="2"/>
  <c r="AF4" i="2"/>
  <c r="AG4" i="2" s="1"/>
  <c r="AH4" i="2" s="1"/>
  <c r="AI4" i="2" s="1"/>
  <c r="AJ4" i="2" s="1"/>
  <c r="AE4" i="2"/>
  <c r="AD19" i="2"/>
  <c r="AE11" i="2" l="1"/>
  <c r="AF11" i="2"/>
  <c r="AG11" i="2"/>
  <c r="AF10" i="2"/>
  <c r="AE12" i="2"/>
  <c r="AF8" i="2"/>
  <c r="AG8" i="2"/>
  <c r="AH8" i="2" s="1"/>
  <c r="Z89" i="2"/>
  <c r="AA89" i="2"/>
  <c r="AB89" i="2"/>
  <c r="AC89" i="2"/>
  <c r="Z81" i="2"/>
  <c r="AA81" i="2"/>
  <c r="AB81" i="2"/>
  <c r="Z80" i="2"/>
  <c r="AA80" i="2"/>
  <c r="AB80" i="2"/>
  <c r="AC80" i="2"/>
  <c r="Z75" i="2"/>
  <c r="AA75" i="2"/>
  <c r="AB75" i="2"/>
  <c r="AC75" i="2"/>
  <c r="Z74" i="2"/>
  <c r="AA74" i="2"/>
  <c r="AB74" i="2"/>
  <c r="AC74" i="2"/>
  <c r="Z71" i="2"/>
  <c r="AA71" i="2"/>
  <c r="AB71" i="2"/>
  <c r="AC71" i="2"/>
  <c r="AD6" i="2"/>
  <c r="AD5" i="2"/>
  <c r="AD4" i="2"/>
  <c r="R6" i="2"/>
  <c r="R5" i="2"/>
  <c r="R4" i="2"/>
  <c r="N33" i="2"/>
  <c r="N29" i="2"/>
  <c r="L32" i="2"/>
  <c r="L28" i="2"/>
  <c r="N32" i="2"/>
  <c r="O31" i="2"/>
  <c r="N30" i="2"/>
  <c r="N28" i="2"/>
  <c r="N19" i="2"/>
  <c r="M20" i="2"/>
  <c r="L25" i="2"/>
  <c r="L24" i="2"/>
  <c r="L23" i="2"/>
  <c r="L22" i="2"/>
  <c r="L20" i="2"/>
  <c r="L16" i="2"/>
  <c r="L17" i="2"/>
  <c r="L14" i="2"/>
  <c r="L15" i="2" s="1"/>
  <c r="L13" i="2"/>
  <c r="L12" i="2"/>
  <c r="L11" i="2"/>
  <c r="L10" i="2"/>
  <c r="L6" i="2"/>
  <c r="L9" i="2" s="1"/>
  <c r="L8" i="2"/>
  <c r="L7" i="2"/>
  <c r="L5" i="2"/>
  <c r="L4" i="2"/>
  <c r="L3" i="2"/>
  <c r="L2" i="2"/>
  <c r="AA33" i="2"/>
  <c r="AA29" i="2"/>
  <c r="Z88" i="2"/>
  <c r="AA88" i="2"/>
  <c r="AB88" i="2"/>
  <c r="AC88" i="2"/>
  <c r="Z86" i="2"/>
  <c r="AA86" i="2"/>
  <c r="Z85" i="2"/>
  <c r="AA85" i="2"/>
  <c r="AH11" i="2" l="1"/>
  <c r="AI11" i="2" s="1"/>
  <c r="AG10" i="2"/>
  <c r="AH10" i="2" s="1"/>
  <c r="AF12" i="2"/>
  <c r="AJ8" i="2"/>
  <c r="AI8" i="2"/>
  <c r="AI10" i="2" l="1"/>
  <c r="AJ10" i="2"/>
  <c r="AJ11" i="2"/>
  <c r="AG12" i="2"/>
  <c r="AH12" i="2"/>
  <c r="AI12" i="2" l="1"/>
  <c r="AJ12" i="2"/>
  <c r="Z16" i="2" l="1"/>
  <c r="AA16" i="2"/>
  <c r="X70" i="2"/>
  <c r="Y70" i="2"/>
  <c r="Z70" i="2"/>
  <c r="AA70" i="2"/>
  <c r="AB70" i="2"/>
  <c r="AC70" i="2"/>
  <c r="Z25" i="2"/>
  <c r="Z24" i="2"/>
  <c r="Z23" i="2"/>
  <c r="Z22" i="2"/>
  <c r="AA25" i="2"/>
  <c r="AA24" i="2"/>
  <c r="AA23" i="2"/>
  <c r="AA22" i="2"/>
  <c r="AB19" i="2"/>
  <c r="AA19" i="2"/>
  <c r="AA6" i="2"/>
  <c r="AA9" i="2" s="1"/>
  <c r="AA13" i="2" s="1"/>
  <c r="AA15" i="2" s="1"/>
  <c r="Z6" i="2"/>
  <c r="Z9" i="2" s="1"/>
  <c r="Z13" i="2" s="1"/>
  <c r="Z15" i="2" s="1"/>
  <c r="Q74" i="2" l="1"/>
  <c r="I71" i="2"/>
  <c r="H71" i="2"/>
  <c r="K71" i="2"/>
  <c r="J71" i="2"/>
  <c r="M71" i="2"/>
  <c r="L71" i="2"/>
  <c r="O71" i="2"/>
  <c r="P71" i="2"/>
  <c r="Q71" i="2"/>
  <c r="N84" i="2"/>
  <c r="N88" i="2" s="1"/>
  <c r="N17" i="2"/>
  <c r="N71" i="2" s="1"/>
  <c r="N14" i="2"/>
  <c r="N12" i="2"/>
  <c r="N11" i="2"/>
  <c r="N10" i="2"/>
  <c r="N8" i="2"/>
  <c r="N7" i="2"/>
  <c r="N5" i="2"/>
  <c r="N4" i="2"/>
  <c r="O20" i="2" s="1"/>
  <c r="K85" i="2"/>
  <c r="K86" i="2" s="1"/>
  <c r="M85" i="2"/>
  <c r="M86" i="2" s="1"/>
  <c r="O35" i="2"/>
  <c r="M29" i="2"/>
  <c r="O29" i="2"/>
  <c r="M33" i="2"/>
  <c r="O33" i="2"/>
  <c r="M19" i="2"/>
  <c r="O19" i="2"/>
  <c r="K6" i="2"/>
  <c r="K9" i="2" s="1"/>
  <c r="K13" i="2" s="1"/>
  <c r="K15" i="2" s="1"/>
  <c r="K16" i="2" s="1"/>
  <c r="M6" i="2"/>
  <c r="M9" i="2" s="1"/>
  <c r="M13" i="2" s="1"/>
  <c r="M15" i="2" s="1"/>
  <c r="M24" i="2" s="1"/>
  <c r="P84" i="2"/>
  <c r="Q88" i="2" s="1"/>
  <c r="C40" i="1" s="1"/>
  <c r="AB85" i="2"/>
  <c r="AB86" i="2" s="1"/>
  <c r="AC85" i="2"/>
  <c r="AC86" i="2" s="1"/>
  <c r="D11" i="1"/>
  <c r="D10" i="1"/>
  <c r="D9" i="1"/>
  <c r="D7" i="1"/>
  <c r="AC19" i="2"/>
  <c r="AB6" i="2"/>
  <c r="AB9" i="2" s="1"/>
  <c r="AB13" i="2" s="1"/>
  <c r="AB15" i="2" s="1"/>
  <c r="AB16" i="2" s="1"/>
  <c r="P14" i="2"/>
  <c r="P12" i="2"/>
  <c r="P11" i="2"/>
  <c r="P10" i="2"/>
  <c r="P8" i="2"/>
  <c r="P7" i="2"/>
  <c r="P5" i="2"/>
  <c r="P4" i="2"/>
  <c r="P20" i="2" s="1"/>
  <c r="AC6" i="2"/>
  <c r="AC9" i="2" s="1"/>
  <c r="AC13" i="2" s="1"/>
  <c r="AC25" i="2" s="1"/>
  <c r="O85" i="2"/>
  <c r="O86" i="2" s="1"/>
  <c r="Q85" i="2"/>
  <c r="Q86" i="2" s="1"/>
  <c r="K22" i="2" l="1"/>
  <c r="P19" i="2"/>
  <c r="Q89" i="2"/>
  <c r="N85" i="2"/>
  <c r="Q75" i="2"/>
  <c r="Q80" i="2" s="1"/>
  <c r="K25" i="2"/>
  <c r="K24" i="2"/>
  <c r="N6" i="2"/>
  <c r="N22" i="2" s="1"/>
  <c r="M22" i="2"/>
  <c r="M16" i="2"/>
  <c r="N20" i="2"/>
  <c r="N86" i="2"/>
  <c r="M23" i="2"/>
  <c r="O88" i="2"/>
  <c r="P6" i="2"/>
  <c r="P22" i="2" s="1"/>
  <c r="P88" i="2"/>
  <c r="Q20" i="2"/>
  <c r="M25" i="2"/>
  <c r="K23" i="2"/>
  <c r="AC15" i="2"/>
  <c r="AB22" i="2"/>
  <c r="P85" i="2"/>
  <c r="P86" i="2" s="1"/>
  <c r="AC22" i="2"/>
  <c r="AB23" i="2"/>
  <c r="AB24" i="2"/>
  <c r="AC23" i="2"/>
  <c r="AB25" i="2"/>
  <c r="N9" i="2" l="1"/>
  <c r="N23" i="2" s="1"/>
  <c r="P9" i="2"/>
  <c r="P13" i="2" s="1"/>
  <c r="AC24" i="2"/>
  <c r="AC16" i="2"/>
  <c r="AC81" i="2" s="1"/>
  <c r="Q35" i="2"/>
  <c r="Q33" i="2"/>
  <c r="Q31" i="2"/>
  <c r="Q29" i="2"/>
  <c r="N13" i="2" l="1"/>
  <c r="P23" i="2"/>
  <c r="P15" i="2"/>
  <c r="P25" i="2"/>
  <c r="Q66" i="2"/>
  <c r="C10" i="1" s="1"/>
  <c r="Q65" i="2"/>
  <c r="C9" i="1" s="1"/>
  <c r="O52" i="2"/>
  <c r="O57" i="2" s="1"/>
  <c r="O43" i="2"/>
  <c r="O47" i="2" s="1"/>
  <c r="Q43" i="2"/>
  <c r="Q47" i="2" s="1"/>
  <c r="Q52" i="2"/>
  <c r="Q57" i="2" s="1"/>
  <c r="C7" i="1"/>
  <c r="Q19" i="2"/>
  <c r="N15" i="2" l="1"/>
  <c r="N25" i="2"/>
  <c r="C11" i="1"/>
  <c r="Q60" i="2"/>
  <c r="Q62" i="2"/>
  <c r="Q63" i="2" s="1"/>
  <c r="Q67" i="2"/>
  <c r="Q76" i="2" s="1"/>
  <c r="P24" i="2"/>
  <c r="P16" i="2"/>
  <c r="O6" i="2"/>
  <c r="Q6" i="2"/>
  <c r="Q22" i="2" s="1"/>
  <c r="C8" i="1"/>
  <c r="C36" i="1" s="1"/>
  <c r="C35" i="1" l="1"/>
  <c r="Q79" i="2"/>
  <c r="N16" i="2"/>
  <c r="N24" i="2"/>
  <c r="O9" i="2"/>
  <c r="O22" i="2"/>
  <c r="Q9" i="2"/>
  <c r="C12" i="1"/>
  <c r="C37" i="1" s="1"/>
  <c r="Q23" i="2" l="1"/>
  <c r="Q13" i="2"/>
  <c r="O13" i="2"/>
  <c r="O23" i="2"/>
  <c r="Q25" i="2" l="1"/>
  <c r="Q15" i="2"/>
  <c r="O15" i="2"/>
  <c r="O25" i="2"/>
  <c r="O24" i="2" l="1"/>
  <c r="O16" i="2"/>
  <c r="Q24" i="2"/>
  <c r="Q16" i="2"/>
  <c r="C38" i="1" l="1"/>
  <c r="Q81" i="2"/>
</calcChain>
</file>

<file path=xl/sharedStrings.xml><?xml version="1.0" encoding="utf-8"?>
<sst xmlns="http://schemas.openxmlformats.org/spreadsheetml/2006/main" count="177" uniqueCount="161">
  <si>
    <t>£BOKU</t>
  </si>
  <si>
    <t>BOKU, Inc.</t>
  </si>
  <si>
    <t>Stock Snapshot</t>
  </si>
  <si>
    <t>Price</t>
  </si>
  <si>
    <t>Shares</t>
  </si>
  <si>
    <t>MC</t>
  </si>
  <si>
    <t>Cash</t>
  </si>
  <si>
    <t>Debt</t>
  </si>
  <si>
    <t>Net Cash</t>
  </si>
  <si>
    <t>EV</t>
  </si>
  <si>
    <t>Management</t>
  </si>
  <si>
    <t>CEO</t>
  </si>
  <si>
    <t>CFO</t>
  </si>
  <si>
    <t>Chair</t>
  </si>
  <si>
    <t>CTO</t>
  </si>
  <si>
    <t>Profile</t>
  </si>
  <si>
    <t>HQ</t>
  </si>
  <si>
    <t>Founded</t>
  </si>
  <si>
    <t>IPO</t>
  </si>
  <si>
    <t>DAU</t>
  </si>
  <si>
    <t>Update</t>
  </si>
  <si>
    <t>IR</t>
  </si>
  <si>
    <t>Valuation Metrics</t>
  </si>
  <si>
    <t>P/B</t>
  </si>
  <si>
    <t>P/S</t>
  </si>
  <si>
    <t>EV/S</t>
  </si>
  <si>
    <t>P/E</t>
  </si>
  <si>
    <t>EV/E</t>
  </si>
  <si>
    <t>Stockopedia</t>
  </si>
  <si>
    <t>Key Events</t>
  </si>
  <si>
    <t>Provides local payment solutions for merchants in the Americas, APA, Europe, Middle East &amp; Africa.</t>
  </si>
  <si>
    <t>Digital payment solutions including mobile wallets, digital carrier billing &amp; real time account</t>
  </si>
  <si>
    <t>San Francisco, CA</t>
  </si>
  <si>
    <t>Red Flags</t>
  </si>
  <si>
    <t>Link</t>
  </si>
  <si>
    <t>H117</t>
  </si>
  <si>
    <t>H217</t>
  </si>
  <si>
    <t>H118</t>
  </si>
  <si>
    <t>H218</t>
  </si>
  <si>
    <t>H119</t>
  </si>
  <si>
    <t>H219</t>
  </si>
  <si>
    <t>H120</t>
  </si>
  <si>
    <t>H220</t>
  </si>
  <si>
    <t>H121</t>
  </si>
  <si>
    <t>H221</t>
  </si>
  <si>
    <t>H122</t>
  </si>
  <si>
    <t>H222</t>
  </si>
  <si>
    <t>H123</t>
  </si>
  <si>
    <t>H223</t>
  </si>
  <si>
    <t>H124</t>
  </si>
  <si>
    <t>H225</t>
  </si>
  <si>
    <t>H224</t>
  </si>
  <si>
    <t>H125</t>
  </si>
  <si>
    <t>FY17</t>
  </si>
  <si>
    <t>FY18</t>
  </si>
  <si>
    <t>FY19</t>
  </si>
  <si>
    <t>FY20</t>
  </si>
  <si>
    <t>FY21</t>
  </si>
  <si>
    <t>FY22</t>
  </si>
  <si>
    <t>FY23</t>
  </si>
  <si>
    <t>FY24</t>
  </si>
  <si>
    <t>FY25</t>
  </si>
  <si>
    <t>FY26</t>
  </si>
  <si>
    <t>FY27</t>
  </si>
  <si>
    <t>FY28</t>
  </si>
  <si>
    <t>FY29</t>
  </si>
  <si>
    <t>FY30</t>
  </si>
  <si>
    <t xml:space="preserve">Contract with Amazon Japan to support eCommerce sales </t>
  </si>
  <si>
    <t>Revenue</t>
  </si>
  <si>
    <t>COGS</t>
  </si>
  <si>
    <t>Gross Profit</t>
  </si>
  <si>
    <t>Admin Expenses</t>
  </si>
  <si>
    <t>Other Income</t>
  </si>
  <si>
    <t>Operating Income</t>
  </si>
  <si>
    <t>Gain on Warrants</t>
  </si>
  <si>
    <t>Finance Income</t>
  </si>
  <si>
    <t>Finance Expense</t>
  </si>
  <si>
    <t>Pretax Income</t>
  </si>
  <si>
    <t>Taxes</t>
  </si>
  <si>
    <t>Net Income</t>
  </si>
  <si>
    <t>EPS</t>
  </si>
  <si>
    <t>(USD Millions)</t>
  </si>
  <si>
    <t>Revenue Y/Y</t>
  </si>
  <si>
    <t>Revenue H/H</t>
  </si>
  <si>
    <t>Gross Margin</t>
  </si>
  <si>
    <t>Operating Margin</t>
  </si>
  <si>
    <t>Net Margin</t>
  </si>
  <si>
    <t>Tax Rate</t>
  </si>
  <si>
    <t>Balance Sheet</t>
  </si>
  <si>
    <t>PP&amp;E</t>
  </si>
  <si>
    <t>ROU</t>
  </si>
  <si>
    <t>Intangibles</t>
  </si>
  <si>
    <t>Warrant Contracts</t>
  </si>
  <si>
    <t>Deferred Taxes</t>
  </si>
  <si>
    <t>Total NCA</t>
  </si>
  <si>
    <t>A/R</t>
  </si>
  <si>
    <t>Assets</t>
  </si>
  <si>
    <t>A/P</t>
  </si>
  <si>
    <t>Lease Liabilities</t>
  </si>
  <si>
    <t>TCL</t>
  </si>
  <si>
    <t>Other Payables</t>
  </si>
  <si>
    <t>Warrant Liabilities</t>
  </si>
  <si>
    <t>Non-current Lease</t>
  </si>
  <si>
    <t>Liabilities</t>
  </si>
  <si>
    <t>S/E</t>
  </si>
  <si>
    <t>S/E+L</t>
  </si>
  <si>
    <t>Book Value</t>
  </si>
  <si>
    <t>Book Value per Share</t>
  </si>
  <si>
    <t>Net Cash (GBP)</t>
  </si>
  <si>
    <t>GBP-USD</t>
  </si>
  <si>
    <t>MC (GBP)</t>
  </si>
  <si>
    <t>EV (GBP)</t>
  </si>
  <si>
    <t>Cashflow Statement</t>
  </si>
  <si>
    <t>CFFO</t>
  </si>
  <si>
    <t>Stuart Neal</t>
  </si>
  <si>
    <t>Keith Butcher</t>
  </si>
  <si>
    <t>Headcount</t>
  </si>
  <si>
    <t>Non-Finance Metrics</t>
  </si>
  <si>
    <t>Total Payment Volumes</t>
  </si>
  <si>
    <t>TPV Y/Y</t>
  </si>
  <si>
    <t>Take Rates</t>
  </si>
  <si>
    <t>Take Rates Y/Y</t>
  </si>
  <si>
    <t>MAU</t>
  </si>
  <si>
    <t>MAU Y/Y</t>
  </si>
  <si>
    <t>New Users (6mo)</t>
  </si>
  <si>
    <t>New Users (6mo) Y/Y</t>
  </si>
  <si>
    <t>mil</t>
  </si>
  <si>
    <t>%</t>
  </si>
  <si>
    <t>$</t>
  </si>
  <si>
    <t>CapEX</t>
  </si>
  <si>
    <t>FCF</t>
  </si>
  <si>
    <t>FCF per Share</t>
  </si>
  <si>
    <t>Price / FCF</t>
  </si>
  <si>
    <t>USDGBP</t>
  </si>
  <si>
    <t>-</t>
  </si>
  <si>
    <t>P/FCF</t>
  </si>
  <si>
    <t>US Small Cap</t>
  </si>
  <si>
    <t>AIM Listed yet CA based</t>
  </si>
  <si>
    <t>BOKU sold Identity business (Boku Identity) &amp; Boku Mobile to Twilio for $32.5m</t>
  </si>
  <si>
    <t>Share Price (GBP)</t>
  </si>
  <si>
    <t>Share Price (USD)</t>
  </si>
  <si>
    <t>MC (USD)</t>
  </si>
  <si>
    <t>EV (USD)</t>
  </si>
  <si>
    <t>What is the USP over paypal or other processers</t>
  </si>
  <si>
    <t>Boku ID is a mobile identity verification service</t>
  </si>
  <si>
    <t>Twilio acquired Boku ID in March 2022</t>
  </si>
  <si>
    <t>Risk Factors</t>
  </si>
  <si>
    <t>Russia/Ukraine</t>
  </si>
  <si>
    <t>No impact - no Russian merchants, no Belarussian or Ukranian merchants either</t>
  </si>
  <si>
    <t>Founded by Mark Britto, Erich Ringewald &amp; Ron Hirson</t>
  </si>
  <si>
    <t>Boku Identity !SOLD!</t>
  </si>
  <si>
    <t>Business Model</t>
  </si>
  <si>
    <t>Provides businesses with ability to accept mobile payments (direct carrier billing &amp; wallets) online from consumers</t>
  </si>
  <si>
    <t>Subscription product (Trident) that enables subscription services to be offered through a mobile network operator</t>
  </si>
  <si>
    <t>Used to operate Boku Identity for verification services, sold to Twilio in Mar 22</t>
  </si>
  <si>
    <t>Maturity Rate</t>
  </si>
  <si>
    <t>Discount Rate</t>
  </si>
  <si>
    <t>NPV</t>
  </si>
  <si>
    <t>Total Value</t>
  </si>
  <si>
    <t>Per Share</t>
  </si>
  <si>
    <t>Market Cap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</si>
</sst>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"/>
    <numFmt numFmtId="165" formatCode="#,##0;[Red]#,##0"/>
    <numFmt numFmtId="166" formatCode="0.0\x"/>
    <numFmt numFmtId="167" formatCode="0\x"/>
    <numFmt numFmtId="172" formatCode="#,##0_ ;[Red]\-#,##0\ "/>
  </numFmts>
  <fonts count="1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8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b/>
      <i/>
      <sz val="10"/>
      <color theme="1"/>
      <name val="Arial"/>
      <family val="2"/>
    </font>
    <font>
      <b/>
      <u/>
      <sz val="10"/>
      <color theme="1"/>
      <name val="Arial"/>
      <family val="2"/>
    </font>
    <font>
      <i/>
      <sz val="10"/>
      <color theme="1"/>
      <name val="Arial"/>
      <family val="2"/>
    </font>
    <font>
      <i/>
      <sz val="10"/>
      <color theme="4"/>
      <name val="Arial"/>
      <family val="2"/>
    </font>
    <font>
      <sz val="10"/>
      <color theme="4"/>
      <name val="Arial"/>
      <family val="2"/>
    </font>
    <font>
      <i/>
      <sz val="8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07">
    <xf numFmtId="0" fontId="0" fillId="0" borderId="0" xfId="0"/>
    <xf numFmtId="0" fontId="1" fillId="0" borderId="0" xfId="0" applyFont="1"/>
    <xf numFmtId="0" fontId="2" fillId="0" borderId="0" xfId="0" applyFont="1"/>
    <xf numFmtId="0" fontId="2" fillId="2" borderId="4" xfId="0" applyFont="1" applyFill="1" applyBorder="1"/>
    <xf numFmtId="0" fontId="2" fillId="2" borderId="6" xfId="0" applyFont="1" applyFill="1" applyBorder="1"/>
    <xf numFmtId="0" fontId="2" fillId="4" borderId="4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1" fillId="4" borderId="0" xfId="0" applyFont="1" applyFill="1"/>
    <xf numFmtId="0" fontId="1" fillId="4" borderId="5" xfId="0" applyFont="1" applyFill="1" applyBorder="1"/>
    <xf numFmtId="0" fontId="1" fillId="4" borderId="7" xfId="0" applyFont="1" applyFill="1" applyBorder="1"/>
    <xf numFmtId="0" fontId="1" fillId="4" borderId="8" xfId="0" applyFont="1" applyFill="1" applyBorder="1"/>
    <xf numFmtId="0" fontId="1" fillId="0" borderId="5" xfId="0" applyFont="1" applyBorder="1" applyAlignment="1">
      <alignment horizontal="right"/>
    </xf>
    <xf numFmtId="0" fontId="1" fillId="0" borderId="8" xfId="0" applyFont="1" applyBorder="1" applyAlignment="1">
      <alignment horizontal="right"/>
    </xf>
    <xf numFmtId="3" fontId="1" fillId="0" borderId="0" xfId="0" applyNumberFormat="1" applyFont="1"/>
    <xf numFmtId="3" fontId="1" fillId="0" borderId="7" xfId="0" applyNumberFormat="1" applyFont="1" applyBorder="1"/>
    <xf numFmtId="0" fontId="1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17" fontId="2" fillId="2" borderId="4" xfId="0" applyNumberFormat="1" applyFont="1" applyFill="1" applyBorder="1" applyAlignment="1">
      <alignment horizontal="center"/>
    </xf>
    <xf numFmtId="0" fontId="5" fillId="4" borderId="0" xfId="1" applyFont="1" applyFill="1" applyBorder="1"/>
    <xf numFmtId="15" fontId="3" fillId="0" borderId="0" xfId="0" applyNumberFormat="1" applyFont="1" applyAlignment="1">
      <alignment horizontal="right"/>
    </xf>
    <xf numFmtId="0" fontId="5" fillId="0" borderId="0" xfId="1" applyFont="1" applyAlignment="1">
      <alignment horizontal="right"/>
    </xf>
    <xf numFmtId="14" fontId="3" fillId="0" borderId="0" xfId="0" applyNumberFormat="1" applyFont="1" applyAlignment="1">
      <alignment horizontal="right"/>
    </xf>
    <xf numFmtId="2" fontId="1" fillId="0" borderId="0" xfId="0" applyNumberFormat="1" applyFont="1"/>
    <xf numFmtId="0" fontId="6" fillId="0" borderId="0" xfId="0" applyFont="1" applyAlignment="1">
      <alignment horizontal="right"/>
    </xf>
    <xf numFmtId="9" fontId="1" fillId="0" borderId="0" xfId="0" applyNumberFormat="1" applyFont="1"/>
    <xf numFmtId="164" fontId="2" fillId="0" borderId="0" xfId="0" applyNumberFormat="1" applyFont="1"/>
    <xf numFmtId="164" fontId="1" fillId="0" borderId="0" xfId="0" applyNumberFormat="1" applyFont="1"/>
    <xf numFmtId="9" fontId="2" fillId="0" borderId="0" xfId="0" applyNumberFormat="1" applyFont="1"/>
    <xf numFmtId="0" fontId="2" fillId="5" borderId="0" xfId="0" applyFont="1" applyFill="1" applyAlignment="1">
      <alignment horizontal="right"/>
    </xf>
    <xf numFmtId="0" fontId="3" fillId="5" borderId="0" xfId="0" applyFont="1" applyFill="1" applyAlignment="1">
      <alignment horizontal="right"/>
    </xf>
    <xf numFmtId="164" fontId="2" fillId="5" borderId="0" xfId="0" applyNumberFormat="1" applyFont="1" applyFill="1"/>
    <xf numFmtId="164" fontId="1" fillId="5" borderId="0" xfId="0" applyNumberFormat="1" applyFont="1" applyFill="1"/>
    <xf numFmtId="2" fontId="1" fillId="5" borderId="0" xfId="0" applyNumberFormat="1" applyFont="1" applyFill="1"/>
    <xf numFmtId="3" fontId="1" fillId="5" borderId="0" xfId="0" applyNumberFormat="1" applyFont="1" applyFill="1"/>
    <xf numFmtId="9" fontId="2" fillId="5" borderId="0" xfId="0" applyNumberFormat="1" applyFont="1" applyFill="1"/>
    <xf numFmtId="0" fontId="1" fillId="5" borderId="0" xfId="0" applyFont="1" applyFill="1"/>
    <xf numFmtId="9" fontId="1" fillId="5" borderId="0" xfId="0" applyNumberFormat="1" applyFont="1" applyFill="1"/>
    <xf numFmtId="0" fontId="7" fillId="0" borderId="0" xfId="0" applyFont="1"/>
    <xf numFmtId="0" fontId="2" fillId="5" borderId="0" xfId="0" applyFont="1" applyFill="1"/>
    <xf numFmtId="0" fontId="8" fillId="0" borderId="0" xfId="0" applyFont="1"/>
    <xf numFmtId="0" fontId="8" fillId="5" borderId="0" xfId="0" applyFont="1" applyFill="1"/>
    <xf numFmtId="15" fontId="1" fillId="0" borderId="0" xfId="0" applyNumberFormat="1" applyFont="1"/>
    <xf numFmtId="10" fontId="1" fillId="0" borderId="0" xfId="0" applyNumberFormat="1" applyFont="1"/>
    <xf numFmtId="9" fontId="9" fillId="0" borderId="0" xfId="0" applyNumberFormat="1" applyFont="1" applyAlignment="1">
      <alignment horizontal="left" indent="1"/>
    </xf>
    <xf numFmtId="9" fontId="9" fillId="0" borderId="0" xfId="0" applyNumberFormat="1" applyFont="1"/>
    <xf numFmtId="9" fontId="9" fillId="5" borderId="0" xfId="0" applyNumberFormat="1" applyFont="1" applyFill="1"/>
    <xf numFmtId="165" fontId="1" fillId="0" borderId="0" xfId="0" applyNumberFormat="1" applyFont="1"/>
    <xf numFmtId="165" fontId="1" fillId="5" borderId="0" xfId="0" applyNumberFormat="1" applyFont="1" applyFill="1"/>
    <xf numFmtId="165" fontId="8" fillId="0" borderId="0" xfId="0" applyNumberFormat="1" applyFont="1" applyAlignment="1">
      <alignment horizontal="center"/>
    </xf>
    <xf numFmtId="9" fontId="9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1" fillId="6" borderId="9" xfId="0" applyFont="1" applyFill="1" applyBorder="1"/>
    <xf numFmtId="0" fontId="1" fillId="6" borderId="10" xfId="0" applyFont="1" applyFill="1" applyBorder="1"/>
    <xf numFmtId="0" fontId="1" fillId="6" borderId="11" xfId="0" applyFont="1" applyFill="1" applyBorder="1"/>
    <xf numFmtId="14" fontId="3" fillId="5" borderId="0" xfId="0" applyNumberFormat="1" applyFont="1" applyFill="1" applyAlignment="1">
      <alignment horizontal="right"/>
    </xf>
    <xf numFmtId="0" fontId="5" fillId="5" borderId="0" xfId="1" applyFont="1" applyFill="1" applyAlignment="1">
      <alignment horizontal="right"/>
    </xf>
    <xf numFmtId="17" fontId="1" fillId="4" borderId="5" xfId="0" applyNumberFormat="1" applyFont="1" applyFill="1" applyBorder="1" applyAlignment="1">
      <alignment horizontal="center"/>
    </xf>
    <xf numFmtId="0" fontId="1" fillId="6" borderId="0" xfId="0" applyFont="1" applyFill="1"/>
    <xf numFmtId="3" fontId="1" fillId="6" borderId="0" xfId="0" applyNumberFormat="1" applyFont="1" applyFill="1"/>
    <xf numFmtId="3" fontId="8" fillId="0" borderId="0" xfId="0" applyNumberFormat="1" applyFont="1"/>
    <xf numFmtId="3" fontId="8" fillId="5" borderId="0" xfId="0" applyNumberFormat="1" applyFont="1" applyFill="1"/>
    <xf numFmtId="2" fontId="8" fillId="0" borderId="0" xfId="0" applyNumberFormat="1" applyFont="1"/>
    <xf numFmtId="2" fontId="8" fillId="5" borderId="0" xfId="0" applyNumberFormat="1" applyFont="1" applyFill="1"/>
    <xf numFmtId="2" fontId="1" fillId="6" borderId="0" xfId="0" applyNumberFormat="1" applyFont="1" applyFill="1"/>
    <xf numFmtId="167" fontId="10" fillId="0" borderId="0" xfId="0" applyNumberFormat="1" applyFont="1"/>
    <xf numFmtId="167" fontId="10" fillId="5" borderId="0" xfId="0" applyNumberFormat="1" applyFont="1" applyFill="1"/>
    <xf numFmtId="0" fontId="1" fillId="4" borderId="0" xfId="0" applyFont="1" applyFill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166" fontId="1" fillId="4" borderId="0" xfId="0" applyNumberFormat="1" applyFont="1" applyFill="1" applyAlignment="1">
      <alignment horizontal="center"/>
    </xf>
    <xf numFmtId="166" fontId="1" fillId="4" borderId="5" xfId="0" applyNumberFormat="1" applyFont="1" applyFill="1" applyBorder="1" applyAlignment="1">
      <alignment horizontal="center"/>
    </xf>
    <xf numFmtId="0" fontId="5" fillId="4" borderId="7" xfId="1" applyFont="1" applyFill="1" applyBorder="1" applyAlignment="1">
      <alignment horizontal="center"/>
    </xf>
    <xf numFmtId="0" fontId="5" fillId="4" borderId="8" xfId="1" applyFont="1" applyFill="1" applyBorder="1" applyAlignment="1">
      <alignment horizontal="center"/>
    </xf>
    <xf numFmtId="0" fontId="2" fillId="0" borderId="0" xfId="0" applyFont="1" applyAlignment="1">
      <alignment horizontal="left" indent="1"/>
    </xf>
    <xf numFmtId="0" fontId="1" fillId="0" borderId="0" xfId="0" applyFont="1" applyAlignment="1">
      <alignment horizontal="left" indent="2"/>
    </xf>
    <xf numFmtId="15" fontId="3" fillId="5" borderId="0" xfId="0" applyNumberFormat="1" applyFont="1" applyFill="1" applyAlignment="1">
      <alignment horizontal="right"/>
    </xf>
    <xf numFmtId="10" fontId="1" fillId="5" borderId="0" xfId="0" applyNumberFormat="1" applyFont="1" applyFill="1"/>
    <xf numFmtId="0" fontId="11" fillId="0" borderId="0" xfId="0" applyFont="1" applyAlignment="1">
      <alignment horizontal="right"/>
    </xf>
    <xf numFmtId="164" fontId="6" fillId="0" borderId="0" xfId="0" applyNumberFormat="1" applyFont="1"/>
    <xf numFmtId="164" fontId="8" fillId="0" borderId="0" xfId="0" applyNumberFormat="1" applyFont="1"/>
    <xf numFmtId="9" fontId="6" fillId="0" borderId="0" xfId="0" applyNumberFormat="1" applyFont="1"/>
    <xf numFmtId="9" fontId="8" fillId="0" borderId="0" xfId="0" applyNumberFormat="1" applyFont="1"/>
    <xf numFmtId="165" fontId="8" fillId="0" borderId="0" xfId="0" applyNumberFormat="1" applyFont="1"/>
    <xf numFmtId="0" fontId="6" fillId="0" borderId="0" xfId="0" applyFont="1"/>
    <xf numFmtId="2" fontId="8" fillId="6" borderId="0" xfId="0" applyNumberFormat="1" applyFont="1" applyFill="1"/>
    <xf numFmtId="3" fontId="8" fillId="6" borderId="0" xfId="0" applyNumberFormat="1" applyFont="1" applyFill="1"/>
    <xf numFmtId="0" fontId="8" fillId="6" borderId="0" xfId="0" applyFont="1" applyFill="1"/>
    <xf numFmtId="167" fontId="9" fillId="0" borderId="0" xfId="0" applyNumberFormat="1" applyFont="1"/>
    <xf numFmtId="0" fontId="3" fillId="2" borderId="1" xfId="0" applyFont="1" applyFill="1" applyBorder="1"/>
    <xf numFmtId="9" fontId="1" fillId="0" borderId="3" xfId="0" applyNumberFormat="1" applyFont="1" applyBorder="1"/>
    <xf numFmtId="9" fontId="3" fillId="2" borderId="4" xfId="0" applyNumberFormat="1" applyFont="1" applyFill="1" applyBorder="1"/>
    <xf numFmtId="9" fontId="1" fillId="0" borderId="5" xfId="0" applyNumberFormat="1" applyFont="1" applyBorder="1"/>
    <xf numFmtId="172" fontId="1" fillId="0" borderId="5" xfId="0" applyNumberFormat="1" applyFont="1" applyBorder="1"/>
    <xf numFmtId="1" fontId="1" fillId="0" borderId="5" xfId="0" applyNumberFormat="1" applyFont="1" applyBorder="1"/>
    <xf numFmtId="3" fontId="1" fillId="0" borderId="5" xfId="0" applyNumberFormat="1" applyFont="1" applyBorder="1"/>
    <xf numFmtId="0" fontId="3" fillId="2" borderId="4" xfId="0" applyFont="1" applyFill="1" applyBorder="1"/>
    <xf numFmtId="4" fontId="1" fillId="0" borderId="5" xfId="0" applyNumberFormat="1" applyFont="1" applyBorder="1"/>
    <xf numFmtId="0" fontId="3" fillId="2" borderId="6" xfId="0" applyFont="1" applyFill="1" applyBorder="1"/>
    <xf numFmtId="3" fontId="1" fillId="0" borderId="8" xfId="0" applyNumberFormat="1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361950</xdr:colOff>
      <xdr:row>0</xdr:row>
      <xdr:rowOff>47625</xdr:rowOff>
    </xdr:from>
    <xdr:to>
      <xdr:col>3</xdr:col>
      <xdr:colOff>285750</xdr:colOff>
      <xdr:row>3</xdr:row>
      <xdr:rowOff>95250</xdr:rowOff>
    </xdr:to>
    <xdr:pic>
      <xdr:nvPicPr>
        <xdr:cNvPr id="2" name="Picture 1" descr="https://logo.clearbit.com/boku.com">
          <a:extLst>
            <a:ext uri="{FF2B5EF4-FFF2-40B4-BE49-F238E27FC236}">
              <a16:creationId xmlns:a16="http://schemas.microsoft.com/office/drawing/2014/main" id="{4AD30E14-74B6-4AA4-9E14-8C619EA967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1150" y="47625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19050</xdr:colOff>
      <xdr:row>0</xdr:row>
      <xdr:rowOff>9525</xdr:rowOff>
    </xdr:from>
    <xdr:to>
      <xdr:col>17</xdr:col>
      <xdr:colOff>19050</xdr:colOff>
      <xdr:row>103</xdr:row>
      <xdr:rowOff>57150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1CB0335E-B23A-06EB-8BF1-19E1B054AD89}"/>
            </a:ext>
          </a:extLst>
        </xdr:cNvPr>
        <xdr:cNvCxnSpPr/>
      </xdr:nvCxnSpPr>
      <xdr:spPr>
        <a:xfrm>
          <a:off x="10858500" y="9525"/>
          <a:ext cx="0" cy="1672590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9525</xdr:colOff>
      <xdr:row>0</xdr:row>
      <xdr:rowOff>0</xdr:rowOff>
    </xdr:from>
    <xdr:to>
      <xdr:col>29</xdr:col>
      <xdr:colOff>9525</xdr:colOff>
      <xdr:row>103</xdr:row>
      <xdr:rowOff>47625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B1D6B286-BF53-4558-847B-64FACE0D196C}"/>
            </a:ext>
          </a:extLst>
        </xdr:cNvPr>
        <xdr:cNvCxnSpPr/>
      </xdr:nvCxnSpPr>
      <xdr:spPr>
        <a:xfrm>
          <a:off x="18164175" y="0"/>
          <a:ext cx="0" cy="1672590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edisoninvestmentresearch.com/?ACT=18&amp;ID=34138" TargetMode="External"/><Relationship Id="rId1" Type="http://schemas.openxmlformats.org/officeDocument/2006/relationships/hyperlink" Target="https://investors.boku.com/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hyperlink" Target="https://wp-boku-investors-2024.s3.eu-west-2.amazonaws.com/media/2024/04/Boku-Annual-Report-2023.pdf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wp-boku-investors-2024.s3.eu-west-2.amazonaws.com/media/2024/04/Boku-Annual-Report-2023.pdf" TargetMode="External"/><Relationship Id="rId1" Type="http://schemas.openxmlformats.org/officeDocument/2006/relationships/hyperlink" Target="https://wp-boku-investors-2024.s3.eu-west-2.amazonaws.com/media/2024/09/Boku_Interim_Report_2024.pdf" TargetMode="External"/><Relationship Id="rId6" Type="http://schemas.openxmlformats.org/officeDocument/2006/relationships/hyperlink" Target="https://wp-boku-investors-2024.s3.eu-west-2.amazonaws.com/media/2022/04/Boku-Annual-Report-2021-r1.pdf" TargetMode="External"/><Relationship Id="rId5" Type="http://schemas.openxmlformats.org/officeDocument/2006/relationships/hyperlink" Target="https://wp-boku-investors-2024.s3.eu-west-2.amazonaws.com/media/2022/04/Boku-Annual-Report-2021-r1.pdf" TargetMode="External"/><Relationship Id="rId4" Type="http://schemas.openxmlformats.org/officeDocument/2006/relationships/hyperlink" Target="https://wp-boku-investors-2024.s3.eu-west-2.amazonaws.com/media/2022/09/Boku_Interim_Report_and_Accounts_30_June_2022-r1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19DA1-C231-4FA7-B2C8-06B2E3A74D15}">
  <dimension ref="A2:S41"/>
  <sheetViews>
    <sheetView workbookViewId="0">
      <selection activeCell="C46" sqref="C46"/>
    </sheetView>
  </sheetViews>
  <sheetFormatPr defaultRowHeight="12.75" x14ac:dyDescent="0.2"/>
  <cols>
    <col min="1" max="16384" width="9.140625" style="1"/>
  </cols>
  <sheetData>
    <row r="2" spans="1:19" x14ac:dyDescent="0.2">
      <c r="B2" s="2" t="s">
        <v>0</v>
      </c>
      <c r="F2" s="1" t="s">
        <v>30</v>
      </c>
    </row>
    <row r="3" spans="1:19" x14ac:dyDescent="0.2">
      <c r="B3" s="2" t="s">
        <v>1</v>
      </c>
      <c r="F3" s="1" t="s">
        <v>31</v>
      </c>
    </row>
    <row r="5" spans="1:19" x14ac:dyDescent="0.2">
      <c r="B5" s="72" t="s">
        <v>2</v>
      </c>
      <c r="C5" s="73"/>
      <c r="D5" s="74"/>
      <c r="G5" s="72" t="s">
        <v>29</v>
      </c>
      <c r="H5" s="73"/>
      <c r="I5" s="73"/>
      <c r="J5" s="73"/>
      <c r="K5" s="73"/>
      <c r="L5" s="73"/>
      <c r="M5" s="73"/>
      <c r="N5" s="73"/>
      <c r="O5" s="74"/>
      <c r="S5" s="2" t="s">
        <v>151</v>
      </c>
    </row>
    <row r="6" spans="1:19" x14ac:dyDescent="0.2">
      <c r="B6" s="3" t="s">
        <v>3</v>
      </c>
      <c r="C6" s="1">
        <v>1.6107</v>
      </c>
      <c r="D6" s="14"/>
      <c r="G6" s="8"/>
      <c r="H6" s="10"/>
      <c r="I6" s="10"/>
      <c r="J6" s="10"/>
      <c r="K6" s="10"/>
      <c r="L6" s="10"/>
      <c r="M6" s="10"/>
      <c r="N6" s="10"/>
      <c r="O6" s="11"/>
      <c r="S6" s="1" t="s">
        <v>152</v>
      </c>
    </row>
    <row r="7" spans="1:19" x14ac:dyDescent="0.2">
      <c r="B7" s="3" t="s">
        <v>4</v>
      </c>
      <c r="C7" s="16">
        <f>+'Financial Model'!Q17</f>
        <v>303.02861300000001</v>
      </c>
      <c r="D7" s="14" t="str">
        <f>+$C$30</f>
        <v>H124</v>
      </c>
      <c r="G7" s="8"/>
      <c r="H7" s="10"/>
      <c r="I7" s="10"/>
      <c r="J7" s="10"/>
      <c r="K7" s="10"/>
      <c r="L7" s="10"/>
      <c r="M7" s="10"/>
      <c r="N7" s="10"/>
      <c r="O7" s="11"/>
      <c r="S7" s="1" t="s">
        <v>153</v>
      </c>
    </row>
    <row r="8" spans="1:19" x14ac:dyDescent="0.2">
      <c r="A8" s="16"/>
      <c r="B8" s="3" t="s">
        <v>5</v>
      </c>
      <c r="C8" s="16">
        <f>C6*C7</f>
        <v>488.08818695910003</v>
      </c>
      <c r="D8" s="14"/>
      <c r="G8" s="21">
        <v>45597</v>
      </c>
      <c r="H8" s="22" t="s">
        <v>67</v>
      </c>
      <c r="I8" s="10"/>
      <c r="J8" s="10"/>
      <c r="K8" s="10"/>
      <c r="L8" s="10"/>
      <c r="M8" s="10"/>
      <c r="N8" s="10"/>
      <c r="O8" s="11"/>
      <c r="S8" s="1" t="s">
        <v>154</v>
      </c>
    </row>
    <row r="9" spans="1:19" x14ac:dyDescent="0.2">
      <c r="A9" s="16"/>
      <c r="B9" s="3" t="s">
        <v>6</v>
      </c>
      <c r="C9" s="16">
        <f>+'Financial Model'!Q65*$C$13</f>
        <v>117.49354000000001</v>
      </c>
      <c r="D9" s="14" t="str">
        <f t="shared" ref="D9:D11" si="0">+$C$30</f>
        <v>H124</v>
      </c>
      <c r="G9" s="8"/>
      <c r="H9" s="10"/>
      <c r="I9" s="10"/>
      <c r="J9" s="10"/>
      <c r="K9" s="10"/>
      <c r="L9" s="10"/>
      <c r="M9" s="10"/>
      <c r="N9" s="10"/>
      <c r="O9" s="11"/>
    </row>
    <row r="10" spans="1:19" x14ac:dyDescent="0.2">
      <c r="A10" s="16"/>
      <c r="B10" s="3" t="s">
        <v>7</v>
      </c>
      <c r="C10" s="16">
        <f>+'Financial Model'!Q66*$C$13</f>
        <v>7.1803100000000004</v>
      </c>
      <c r="D10" s="14" t="str">
        <f t="shared" si="0"/>
        <v>H124</v>
      </c>
      <c r="G10" s="8"/>
      <c r="H10" s="10"/>
      <c r="I10" s="10"/>
      <c r="J10" s="10"/>
      <c r="K10" s="10"/>
      <c r="L10" s="10"/>
      <c r="M10" s="10"/>
      <c r="N10" s="10"/>
      <c r="O10" s="11"/>
    </row>
    <row r="11" spans="1:19" x14ac:dyDescent="0.2">
      <c r="A11" s="16"/>
      <c r="B11" s="3" t="s">
        <v>8</v>
      </c>
      <c r="C11" s="16">
        <f>C9-C10</f>
        <v>110.31323</v>
      </c>
      <c r="D11" s="14" t="str">
        <f t="shared" si="0"/>
        <v>H124</v>
      </c>
      <c r="G11" s="8"/>
      <c r="H11" s="10"/>
      <c r="I11" s="10"/>
      <c r="J11" s="10"/>
      <c r="K11" s="10"/>
      <c r="L11" s="10"/>
      <c r="M11" s="10"/>
      <c r="N11" s="10"/>
      <c r="O11" s="11"/>
      <c r="S11" s="2" t="s">
        <v>150</v>
      </c>
    </row>
    <row r="12" spans="1:19" x14ac:dyDescent="0.2">
      <c r="A12" s="16"/>
      <c r="B12" s="4" t="s">
        <v>9</v>
      </c>
      <c r="C12" s="17">
        <f>C8-C11</f>
        <v>377.7749569591</v>
      </c>
      <c r="D12" s="15"/>
      <c r="G12" s="8"/>
      <c r="H12" s="10"/>
      <c r="I12" s="10"/>
      <c r="J12" s="10"/>
      <c r="K12" s="10"/>
      <c r="L12" s="10"/>
      <c r="M12" s="10"/>
      <c r="N12" s="10"/>
      <c r="O12" s="11"/>
      <c r="S12" s="1" t="s">
        <v>144</v>
      </c>
    </row>
    <row r="13" spans="1:19" x14ac:dyDescent="0.2">
      <c r="B13" s="55" t="s">
        <v>133</v>
      </c>
      <c r="C13" s="56">
        <v>0.79</v>
      </c>
      <c r="D13" s="57"/>
      <c r="G13" s="8"/>
      <c r="H13" s="10"/>
      <c r="I13" s="10"/>
      <c r="J13" s="10"/>
      <c r="K13" s="10"/>
      <c r="L13" s="10"/>
      <c r="M13" s="10"/>
      <c r="N13" s="10"/>
      <c r="O13" s="11"/>
      <c r="S13" s="1" t="s">
        <v>145</v>
      </c>
    </row>
    <row r="14" spans="1:19" x14ac:dyDescent="0.2">
      <c r="G14" s="8"/>
      <c r="H14" s="10"/>
      <c r="I14" s="10"/>
      <c r="J14" s="10"/>
      <c r="K14" s="10"/>
      <c r="L14" s="10"/>
      <c r="M14" s="10"/>
      <c r="N14" s="10"/>
      <c r="O14" s="11"/>
    </row>
    <row r="15" spans="1:19" x14ac:dyDescent="0.2">
      <c r="B15" s="72" t="s">
        <v>10</v>
      </c>
      <c r="C15" s="73"/>
      <c r="D15" s="74"/>
      <c r="G15" s="8"/>
      <c r="H15" s="10"/>
      <c r="I15" s="10"/>
      <c r="J15" s="10"/>
      <c r="K15" s="10"/>
      <c r="L15" s="10"/>
      <c r="M15" s="10"/>
      <c r="N15" s="10"/>
      <c r="O15" s="11"/>
    </row>
    <row r="16" spans="1:19" x14ac:dyDescent="0.2">
      <c r="A16" s="45">
        <v>45597</v>
      </c>
      <c r="B16" s="5" t="s">
        <v>11</v>
      </c>
      <c r="C16" s="70" t="s">
        <v>114</v>
      </c>
      <c r="D16" s="71"/>
      <c r="G16" s="8"/>
      <c r="H16" s="10"/>
      <c r="I16" s="10"/>
      <c r="J16" s="10"/>
      <c r="K16" s="10"/>
      <c r="L16" s="10"/>
      <c r="M16" s="10"/>
      <c r="N16" s="10"/>
      <c r="O16" s="11"/>
    </row>
    <row r="17" spans="2:19" x14ac:dyDescent="0.2">
      <c r="B17" s="5" t="s">
        <v>12</v>
      </c>
      <c r="C17" s="70" t="s">
        <v>115</v>
      </c>
      <c r="D17" s="71"/>
      <c r="G17" s="8"/>
      <c r="H17" s="10"/>
      <c r="I17" s="10"/>
      <c r="J17" s="10"/>
      <c r="K17" s="10"/>
      <c r="L17" s="10"/>
      <c r="M17" s="10"/>
      <c r="N17" s="10"/>
      <c r="O17" s="11"/>
    </row>
    <row r="18" spans="2:19" x14ac:dyDescent="0.2">
      <c r="B18" s="5" t="s">
        <v>14</v>
      </c>
      <c r="C18" s="70"/>
      <c r="D18" s="71"/>
      <c r="G18" s="8"/>
      <c r="H18" s="10"/>
      <c r="I18" s="10"/>
      <c r="J18" s="10"/>
      <c r="K18" s="10"/>
      <c r="L18" s="10"/>
      <c r="M18" s="10"/>
      <c r="N18" s="10"/>
      <c r="O18" s="11"/>
    </row>
    <row r="19" spans="2:19" x14ac:dyDescent="0.2">
      <c r="B19" s="7" t="s">
        <v>13</v>
      </c>
      <c r="C19" s="75"/>
      <c r="D19" s="76"/>
      <c r="G19" s="8"/>
      <c r="H19" s="10"/>
      <c r="I19" s="10"/>
      <c r="J19" s="10"/>
      <c r="K19" s="10"/>
      <c r="L19" s="10"/>
      <c r="M19" s="10"/>
      <c r="N19" s="10"/>
      <c r="O19" s="11"/>
      <c r="S19" s="2" t="s">
        <v>146</v>
      </c>
    </row>
    <row r="20" spans="2:19" x14ac:dyDescent="0.2">
      <c r="G20" s="8"/>
      <c r="H20" s="10"/>
      <c r="I20" s="10"/>
      <c r="J20" s="10"/>
      <c r="K20" s="10"/>
      <c r="L20" s="10"/>
      <c r="M20" s="10"/>
      <c r="N20" s="10"/>
      <c r="O20" s="11"/>
    </row>
    <row r="21" spans="2:19" x14ac:dyDescent="0.2">
      <c r="G21" s="21">
        <v>44593</v>
      </c>
      <c r="H21" s="10" t="s">
        <v>138</v>
      </c>
      <c r="I21" s="10"/>
      <c r="J21" s="10"/>
      <c r="K21" s="10"/>
      <c r="L21" s="10"/>
      <c r="M21" s="10"/>
      <c r="N21" s="10"/>
      <c r="O21" s="11"/>
      <c r="S21" s="81" t="s">
        <v>147</v>
      </c>
    </row>
    <row r="22" spans="2:19" x14ac:dyDescent="0.2">
      <c r="B22" s="72" t="s">
        <v>15</v>
      </c>
      <c r="C22" s="73"/>
      <c r="D22" s="74"/>
      <c r="G22" s="8"/>
      <c r="H22" s="10"/>
      <c r="I22" s="10"/>
      <c r="J22" s="10"/>
      <c r="K22" s="10"/>
      <c r="L22" s="10"/>
      <c r="M22" s="10"/>
      <c r="N22" s="10"/>
      <c r="O22" s="11"/>
      <c r="S22" s="82" t="s">
        <v>148</v>
      </c>
    </row>
    <row r="23" spans="2:19" x14ac:dyDescent="0.2">
      <c r="B23" s="8" t="s">
        <v>16</v>
      </c>
      <c r="C23" s="70" t="s">
        <v>32</v>
      </c>
      <c r="D23" s="71"/>
      <c r="G23" s="8"/>
      <c r="H23" s="10"/>
      <c r="I23" s="10"/>
      <c r="J23" s="10"/>
      <c r="K23" s="10"/>
      <c r="L23" s="10"/>
      <c r="M23" s="10"/>
      <c r="N23" s="10"/>
      <c r="O23" s="11"/>
    </row>
    <row r="24" spans="2:19" x14ac:dyDescent="0.2">
      <c r="B24" s="8" t="s">
        <v>17</v>
      </c>
      <c r="C24" s="70">
        <v>2008</v>
      </c>
      <c r="D24" s="71"/>
      <c r="G24" s="8"/>
      <c r="H24" s="10"/>
      <c r="I24" s="10"/>
      <c r="J24" s="10"/>
      <c r="K24" s="10"/>
      <c r="L24" s="10"/>
      <c r="M24" s="10"/>
      <c r="N24" s="10"/>
      <c r="O24" s="11"/>
    </row>
    <row r="25" spans="2:19" x14ac:dyDescent="0.2">
      <c r="B25" s="8" t="s">
        <v>18</v>
      </c>
      <c r="C25" s="70">
        <v>2017</v>
      </c>
      <c r="D25" s="71"/>
      <c r="G25" s="9">
        <v>2008</v>
      </c>
      <c r="H25" s="12" t="s">
        <v>149</v>
      </c>
      <c r="I25" s="12"/>
      <c r="J25" s="12"/>
      <c r="K25" s="12"/>
      <c r="L25" s="12"/>
      <c r="M25" s="12"/>
      <c r="N25" s="12"/>
      <c r="O25" s="13"/>
      <c r="S25" s="2" t="s">
        <v>33</v>
      </c>
    </row>
    <row r="26" spans="2:19" x14ac:dyDescent="0.2">
      <c r="B26" s="8"/>
      <c r="C26" s="70"/>
      <c r="D26" s="71"/>
      <c r="S26" s="1" t="s">
        <v>137</v>
      </c>
    </row>
    <row r="27" spans="2:19" x14ac:dyDescent="0.2">
      <c r="B27" s="8" t="s">
        <v>19</v>
      </c>
      <c r="C27" s="70"/>
      <c r="D27" s="71"/>
      <c r="S27" s="1" t="s">
        <v>136</v>
      </c>
    </row>
    <row r="28" spans="2:19" x14ac:dyDescent="0.2">
      <c r="B28" s="8" t="s">
        <v>116</v>
      </c>
      <c r="C28" s="70"/>
      <c r="D28" s="71"/>
      <c r="S28" s="1" t="s">
        <v>143</v>
      </c>
    </row>
    <row r="29" spans="2:19" x14ac:dyDescent="0.2">
      <c r="B29" s="8"/>
      <c r="C29" s="70"/>
      <c r="D29" s="71"/>
    </row>
    <row r="30" spans="2:19" x14ac:dyDescent="0.2">
      <c r="B30" s="8" t="s">
        <v>20</v>
      </c>
      <c r="C30" s="6" t="s">
        <v>49</v>
      </c>
      <c r="D30" s="60">
        <v>45536</v>
      </c>
    </row>
    <row r="31" spans="2:19" x14ac:dyDescent="0.2">
      <c r="B31" s="9" t="s">
        <v>21</v>
      </c>
      <c r="C31" s="79" t="s">
        <v>34</v>
      </c>
      <c r="D31" s="80"/>
    </row>
    <row r="34" spans="2:4" x14ac:dyDescent="0.2">
      <c r="B34" s="72" t="s">
        <v>22</v>
      </c>
      <c r="C34" s="73"/>
      <c r="D34" s="74"/>
    </row>
    <row r="35" spans="2:4" x14ac:dyDescent="0.2">
      <c r="B35" s="8" t="s">
        <v>23</v>
      </c>
      <c r="C35" s="77">
        <f>+C6/('Financial Model'!Q63*Main!C13)</f>
        <v>4.4631448966950336</v>
      </c>
      <c r="D35" s="78"/>
    </row>
    <row r="36" spans="2:4" x14ac:dyDescent="0.2">
      <c r="B36" s="8" t="s">
        <v>24</v>
      </c>
      <c r="C36" s="77">
        <f>+C8/(SUM('Financial Model'!P4:Q4)*Main!$C$13)</f>
        <v>6.7280098883751904</v>
      </c>
      <c r="D36" s="78"/>
    </row>
    <row r="37" spans="2:4" x14ac:dyDescent="0.2">
      <c r="B37" s="8" t="s">
        <v>25</v>
      </c>
      <c r="C37" s="77">
        <f>+C12/(SUM('Financial Model'!P4:Q4)*C13)</f>
        <v>5.2074065996895751</v>
      </c>
      <c r="D37" s="78"/>
    </row>
    <row r="38" spans="2:4" x14ac:dyDescent="0.2">
      <c r="B38" s="8" t="s">
        <v>26</v>
      </c>
      <c r="C38" s="77">
        <f>+C6/(SUM('Financial Model'!P16:Q16)*Main!C13)</f>
        <v>84.972354260847055</v>
      </c>
      <c r="D38" s="78"/>
    </row>
    <row r="39" spans="2:4" x14ac:dyDescent="0.2">
      <c r="B39" s="8" t="s">
        <v>27</v>
      </c>
      <c r="C39" s="70"/>
      <c r="D39" s="71"/>
    </row>
    <row r="40" spans="2:4" x14ac:dyDescent="0.2">
      <c r="B40" s="8" t="s">
        <v>135</v>
      </c>
      <c r="C40" s="77">
        <f>+C6/('Financial Model'!Q88*Main!C13)</f>
        <v>15.357141210745286</v>
      </c>
      <c r="D40" s="78"/>
    </row>
    <row r="41" spans="2:4" x14ac:dyDescent="0.2">
      <c r="B41" s="9" t="s">
        <v>28</v>
      </c>
      <c r="C41" s="75">
        <v>38</v>
      </c>
      <c r="D41" s="76"/>
    </row>
  </sheetData>
  <mergeCells count="24">
    <mergeCell ref="C37:D37"/>
    <mergeCell ref="C38:D38"/>
    <mergeCell ref="C39:D39"/>
    <mergeCell ref="C41:D41"/>
    <mergeCell ref="G5:O5"/>
    <mergeCell ref="C28:D28"/>
    <mergeCell ref="C40:D40"/>
    <mergeCell ref="C29:D29"/>
    <mergeCell ref="C31:D31"/>
    <mergeCell ref="B34:D34"/>
    <mergeCell ref="C35:D35"/>
    <mergeCell ref="C36:D36"/>
    <mergeCell ref="B22:D22"/>
    <mergeCell ref="C23:D23"/>
    <mergeCell ref="C24:D24"/>
    <mergeCell ref="C25:D25"/>
    <mergeCell ref="C26:D26"/>
    <mergeCell ref="C27:D27"/>
    <mergeCell ref="B5:D5"/>
    <mergeCell ref="B15:D15"/>
    <mergeCell ref="C16:D16"/>
    <mergeCell ref="C17:D17"/>
    <mergeCell ref="C18:D18"/>
    <mergeCell ref="C19:D19"/>
  </mergeCells>
  <hyperlinks>
    <hyperlink ref="C31:D31" r:id="rId1" display="Link" xr:uid="{9A9A395C-9AC6-463B-A9F5-12C78A210900}"/>
    <hyperlink ref="H8" r:id="rId2" display="Contract with Amazon to support local payments for Prime Video in SE Asia" xr:uid="{00F997CC-CDFD-4824-B364-C1A74AA7E4B2}"/>
  </hyperlinks>
  <pageMargins left="0.7" right="0.7" top="0.75" bottom="0.75" header="0.3" footer="0.3"/>
  <pageSetup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160AC-618D-4C7C-8243-B9DE8B3E2D41}">
  <dimension ref="A1:DM89"/>
  <sheetViews>
    <sheetView tabSelected="1" workbookViewId="0">
      <pane xSplit="2" ySplit="3" topLeftCell="T4" activePane="bottomRight" state="frozen"/>
      <selection pane="topRight" activeCell="C1" sqref="C1"/>
      <selection pane="bottomLeft" activeCell="A4" sqref="A4"/>
      <selection pane="bottomRight" activeCell="AM21" sqref="AM21:AN27"/>
    </sheetView>
  </sheetViews>
  <sheetFormatPr defaultRowHeight="12.75" x14ac:dyDescent="0.2"/>
  <cols>
    <col min="1" max="1" width="4.28515625" style="1" customWidth="1"/>
    <col min="2" max="2" width="21.140625" style="1" bestFit="1" customWidth="1"/>
    <col min="3" max="3" width="9.140625" style="1"/>
    <col min="4" max="4" width="9.140625" style="39"/>
    <col min="5" max="5" width="9.140625" style="1"/>
    <col min="6" max="6" width="9.140625" style="39"/>
    <col min="7" max="7" width="9.140625" style="1"/>
    <col min="8" max="8" width="9.140625" style="39"/>
    <col min="9" max="9" width="9.140625" style="1"/>
    <col min="10" max="10" width="9.140625" style="39"/>
    <col min="11" max="11" width="9.140625" style="1"/>
    <col min="12" max="12" width="9.140625" style="39"/>
    <col min="13" max="13" width="9.140625" style="1"/>
    <col min="14" max="14" width="9.140625" style="39"/>
    <col min="15" max="15" width="9.140625" style="1"/>
    <col min="16" max="16" width="9.140625" style="39"/>
    <col min="17" max="17" width="9.140625" style="1"/>
    <col min="18" max="18" width="9.140625" style="39"/>
    <col min="19" max="19" width="9.140625" style="1"/>
    <col min="20" max="20" width="9.140625" style="39"/>
    <col min="21" max="29" width="9.140625" style="1"/>
    <col min="30" max="36" width="9.140625" style="43"/>
    <col min="37" max="16384" width="9.140625" style="1"/>
  </cols>
  <sheetData>
    <row r="1" spans="2:117" s="20" customFormat="1" x14ac:dyDescent="0.2">
      <c r="B1" s="27" t="s">
        <v>81</v>
      </c>
      <c r="C1" s="20" t="s">
        <v>35</v>
      </c>
      <c r="D1" s="32" t="s">
        <v>36</v>
      </c>
      <c r="E1" s="20" t="s">
        <v>37</v>
      </c>
      <c r="F1" s="32" t="s">
        <v>38</v>
      </c>
      <c r="G1" s="20" t="s">
        <v>39</v>
      </c>
      <c r="H1" s="32" t="s">
        <v>40</v>
      </c>
      <c r="I1" s="20" t="s">
        <v>41</v>
      </c>
      <c r="J1" s="32" t="s">
        <v>42</v>
      </c>
      <c r="K1" s="20" t="s">
        <v>43</v>
      </c>
      <c r="L1" s="59" t="s">
        <v>44</v>
      </c>
      <c r="M1" s="24" t="s">
        <v>45</v>
      </c>
      <c r="N1" s="32" t="s">
        <v>46</v>
      </c>
      <c r="O1" s="20" t="s">
        <v>47</v>
      </c>
      <c r="P1" s="59" t="s">
        <v>48</v>
      </c>
      <c r="Q1" s="24" t="s">
        <v>49</v>
      </c>
      <c r="R1" s="32" t="s">
        <v>51</v>
      </c>
      <c r="S1" s="20" t="s">
        <v>52</v>
      </c>
      <c r="T1" s="32" t="s">
        <v>50</v>
      </c>
      <c r="W1" s="20" t="s">
        <v>53</v>
      </c>
      <c r="X1" s="20" t="s">
        <v>54</v>
      </c>
      <c r="Y1" s="20" t="s">
        <v>55</v>
      </c>
      <c r="Z1" s="20" t="s">
        <v>56</v>
      </c>
      <c r="AA1" s="24" t="s">
        <v>57</v>
      </c>
      <c r="AB1" s="20" t="s">
        <v>58</v>
      </c>
      <c r="AC1" s="24" t="s">
        <v>59</v>
      </c>
      <c r="AD1" s="27" t="s">
        <v>60</v>
      </c>
      <c r="AE1" s="27" t="s">
        <v>61</v>
      </c>
      <c r="AF1" s="27" t="s">
        <v>62</v>
      </c>
      <c r="AG1" s="27" t="s">
        <v>63</v>
      </c>
      <c r="AH1" s="27" t="s">
        <v>64</v>
      </c>
      <c r="AI1" s="27" t="s">
        <v>65</v>
      </c>
      <c r="AJ1" s="27" t="s">
        <v>66</v>
      </c>
    </row>
    <row r="2" spans="2:117" s="19" customFormat="1" x14ac:dyDescent="0.2">
      <c r="B2" s="18"/>
      <c r="D2" s="33"/>
      <c r="F2" s="33"/>
      <c r="H2" s="33"/>
      <c r="J2" s="33"/>
      <c r="K2" s="25">
        <v>44377</v>
      </c>
      <c r="L2" s="58">
        <f>+AA2</f>
        <v>44561</v>
      </c>
      <c r="M2" s="25">
        <v>44742</v>
      </c>
      <c r="N2" s="58">
        <v>44926</v>
      </c>
      <c r="O2" s="25">
        <v>45107</v>
      </c>
      <c r="P2" s="58">
        <v>45291</v>
      </c>
      <c r="Q2" s="25">
        <v>45473</v>
      </c>
      <c r="R2" s="33"/>
      <c r="T2" s="33"/>
      <c r="Z2" s="25">
        <v>44196</v>
      </c>
      <c r="AA2" s="25">
        <v>44561</v>
      </c>
      <c r="AB2" s="25">
        <v>44926</v>
      </c>
      <c r="AC2" s="25">
        <v>45291</v>
      </c>
      <c r="AD2" s="85"/>
      <c r="AE2" s="85"/>
      <c r="AF2" s="85"/>
      <c r="AG2" s="85"/>
      <c r="AH2" s="85"/>
      <c r="AI2" s="85"/>
      <c r="AJ2" s="85"/>
    </row>
    <row r="3" spans="2:117" s="19" customFormat="1" x14ac:dyDescent="0.2">
      <c r="B3" s="18"/>
      <c r="D3" s="33"/>
      <c r="F3" s="33"/>
      <c r="H3" s="33"/>
      <c r="J3" s="33"/>
      <c r="L3" s="83">
        <f>+AA3</f>
        <v>44656</v>
      </c>
      <c r="M3" s="23">
        <v>44833</v>
      </c>
      <c r="N3" s="33"/>
      <c r="P3" s="33"/>
      <c r="Q3" s="23">
        <v>45559</v>
      </c>
      <c r="R3" s="33"/>
      <c r="T3" s="33"/>
      <c r="AA3" s="23">
        <v>44656</v>
      </c>
      <c r="AC3" s="23">
        <v>45407</v>
      </c>
      <c r="AD3" s="85"/>
      <c r="AE3" s="85"/>
      <c r="AF3" s="85"/>
      <c r="AG3" s="85"/>
      <c r="AH3" s="85"/>
      <c r="AI3" s="85"/>
      <c r="AJ3" s="85"/>
    </row>
    <row r="4" spans="2:117" s="29" customFormat="1" x14ac:dyDescent="0.2">
      <c r="B4" s="29" t="s">
        <v>68</v>
      </c>
      <c r="D4" s="34"/>
      <c r="F4" s="34"/>
      <c r="H4" s="34"/>
      <c r="J4" s="34"/>
      <c r="K4" s="29">
        <v>30.704999999999998</v>
      </c>
      <c r="L4" s="34">
        <f>+AA4-K4</f>
        <v>38.460000000000008</v>
      </c>
      <c r="M4" s="29">
        <v>30.338999999999999</v>
      </c>
      <c r="N4" s="34">
        <f>AB4-M4</f>
        <v>33.425000000000004</v>
      </c>
      <c r="O4" s="29">
        <v>38.173999999999999</v>
      </c>
      <c r="P4" s="34">
        <f>+AC4-O4</f>
        <v>44.545999999999999</v>
      </c>
      <c r="Q4" s="29">
        <v>47.283999999999999</v>
      </c>
      <c r="R4" s="34">
        <f>+Q4*(1+R19)</f>
        <v>57.686479999999996</v>
      </c>
      <c r="T4" s="34"/>
      <c r="Z4" s="29">
        <v>56.402000000000001</v>
      </c>
      <c r="AA4" s="29">
        <v>69.165000000000006</v>
      </c>
      <c r="AB4" s="29">
        <v>63.764000000000003</v>
      </c>
      <c r="AC4" s="29">
        <v>82.72</v>
      </c>
      <c r="AD4" s="86">
        <f>+SUM(Q4:R4)</f>
        <v>104.97047999999999</v>
      </c>
      <c r="AE4" s="86">
        <f>+AD4*(1+AE19)</f>
        <v>131.2131</v>
      </c>
      <c r="AF4" s="86">
        <f t="shared" ref="AF4:AJ4" si="0">+AE4*(1+AF19)</f>
        <v>164.01637499999998</v>
      </c>
      <c r="AG4" s="86">
        <f t="shared" si="0"/>
        <v>196.81964999999997</v>
      </c>
      <c r="AH4" s="86">
        <f t="shared" si="0"/>
        <v>226.34259749999995</v>
      </c>
      <c r="AI4" s="86">
        <f t="shared" si="0"/>
        <v>260.29398712499994</v>
      </c>
      <c r="AJ4" s="86">
        <f t="shared" si="0"/>
        <v>299.33808519374992</v>
      </c>
    </row>
    <row r="5" spans="2:117" s="30" customFormat="1" x14ac:dyDescent="0.2">
      <c r="B5" s="30" t="s">
        <v>69</v>
      </c>
      <c r="D5" s="35"/>
      <c r="F5" s="35"/>
      <c r="H5" s="35"/>
      <c r="J5" s="35"/>
      <c r="K5" s="30">
        <v>1.2549999999999999</v>
      </c>
      <c r="L5" s="35">
        <f>+AA5-K5</f>
        <v>4.4779999999999998</v>
      </c>
      <c r="M5" s="30">
        <v>0.96</v>
      </c>
      <c r="N5" s="35">
        <f>AB5-M5</f>
        <v>0.81099999999999994</v>
      </c>
      <c r="O5" s="30">
        <v>1.3160000000000001</v>
      </c>
      <c r="P5" s="35">
        <f>+AC5-O5</f>
        <v>0.73399999999999976</v>
      </c>
      <c r="Q5" s="30">
        <v>1.365</v>
      </c>
      <c r="R5" s="35">
        <f>+R4*(1-R22)</f>
        <v>1.153729600000001</v>
      </c>
      <c r="T5" s="35"/>
      <c r="Z5" s="30">
        <v>4.9249999999999998</v>
      </c>
      <c r="AA5" s="30">
        <v>5.7329999999999997</v>
      </c>
      <c r="AB5" s="30">
        <v>1.7709999999999999</v>
      </c>
      <c r="AC5" s="30">
        <v>2.0499999999999998</v>
      </c>
      <c r="AD5" s="87">
        <f>+SUM(Q5:R5)</f>
        <v>2.5187296000000012</v>
      </c>
      <c r="AE5" s="87">
        <f>+AE4*(1-AE22)</f>
        <v>3.2803275000000029</v>
      </c>
      <c r="AF5" s="87">
        <f t="shared" ref="AF5:AJ5" si="1">+AF4*(1-AF22)</f>
        <v>4.1004093750000035</v>
      </c>
      <c r="AG5" s="87">
        <f t="shared" si="1"/>
        <v>4.920491250000004</v>
      </c>
      <c r="AH5" s="87">
        <f t="shared" si="1"/>
        <v>9.0537039000000057</v>
      </c>
      <c r="AI5" s="87">
        <f t="shared" si="1"/>
        <v>10.411759485000006</v>
      </c>
      <c r="AJ5" s="87">
        <f t="shared" si="1"/>
        <v>11.973523407750008</v>
      </c>
    </row>
    <row r="6" spans="2:117" s="29" customFormat="1" x14ac:dyDescent="0.2">
      <c r="B6" s="29" t="s">
        <v>70</v>
      </c>
      <c r="D6" s="34"/>
      <c r="F6" s="34"/>
      <c r="H6" s="34"/>
      <c r="J6" s="34"/>
      <c r="K6" s="29">
        <f>+K4-K5</f>
        <v>29.45</v>
      </c>
      <c r="L6" s="34">
        <f>+L4-L5</f>
        <v>33.982000000000006</v>
      </c>
      <c r="M6" s="29">
        <f>+M4-M5</f>
        <v>29.378999999999998</v>
      </c>
      <c r="N6" s="34">
        <f>+N4-N5</f>
        <v>32.614000000000004</v>
      </c>
      <c r="O6" s="29">
        <f>+O4-O5</f>
        <v>36.857999999999997</v>
      </c>
      <c r="P6" s="34">
        <f>+P4-P5</f>
        <v>43.811999999999998</v>
      </c>
      <c r="Q6" s="29">
        <f>+Q4-Q5</f>
        <v>45.918999999999997</v>
      </c>
      <c r="R6" s="34">
        <f>R4-R5</f>
        <v>56.532750399999998</v>
      </c>
      <c r="T6" s="34"/>
      <c r="Z6" s="29">
        <f t="shared" ref="Z6:AA6" si="2">+Z4-Z5</f>
        <v>51.477000000000004</v>
      </c>
      <c r="AA6" s="29">
        <f t="shared" si="2"/>
        <v>63.432000000000009</v>
      </c>
      <c r="AB6" s="29">
        <f>+AB4-AB5</f>
        <v>61.993000000000002</v>
      </c>
      <c r="AC6" s="29">
        <f>+AC4-AC5</f>
        <v>80.67</v>
      </c>
      <c r="AD6" s="86">
        <f>+AD4-AD5</f>
        <v>102.45175039999999</v>
      </c>
      <c r="AE6" s="86">
        <f t="shared" ref="AE6:AJ6" si="3">+AE4-AE5</f>
        <v>127.9327725</v>
      </c>
      <c r="AF6" s="86">
        <f t="shared" si="3"/>
        <v>159.91596562499998</v>
      </c>
      <c r="AG6" s="86">
        <f t="shared" si="3"/>
        <v>191.89915874999997</v>
      </c>
      <c r="AH6" s="86">
        <f t="shared" si="3"/>
        <v>217.28889359999994</v>
      </c>
      <c r="AI6" s="86">
        <f t="shared" si="3"/>
        <v>249.88222763999994</v>
      </c>
      <c r="AJ6" s="86">
        <f t="shared" si="3"/>
        <v>287.36456178599991</v>
      </c>
    </row>
    <row r="7" spans="2:117" s="30" customFormat="1" x14ac:dyDescent="0.2">
      <c r="B7" s="30" t="s">
        <v>71</v>
      </c>
      <c r="D7" s="35"/>
      <c r="F7" s="35"/>
      <c r="H7" s="35"/>
      <c r="J7" s="35"/>
      <c r="K7" s="30">
        <v>25.966000000000001</v>
      </c>
      <c r="L7" s="35">
        <f>+AA7-K7</f>
        <v>33.411000000000001</v>
      </c>
      <c r="M7" s="30">
        <v>25.692</v>
      </c>
      <c r="N7" s="35">
        <f>+AB7-M7</f>
        <v>29.049999999999997</v>
      </c>
      <c r="O7" s="30">
        <v>34.853999999999999</v>
      </c>
      <c r="P7" s="35">
        <f>+AC7-O7</f>
        <v>36.203000000000003</v>
      </c>
      <c r="Q7" s="30">
        <v>46.314999999999998</v>
      </c>
      <c r="R7" s="35"/>
      <c r="T7" s="35"/>
      <c r="Z7" s="30">
        <v>68.2</v>
      </c>
      <c r="AA7" s="30">
        <v>59.377000000000002</v>
      </c>
      <c r="AB7" s="30">
        <v>54.741999999999997</v>
      </c>
      <c r="AC7" s="30">
        <v>71.057000000000002</v>
      </c>
      <c r="AD7" s="87">
        <f>+AD4*0.85</f>
        <v>89.224907999999999</v>
      </c>
      <c r="AE7" s="87">
        <f t="shared" ref="AE7:AJ7" si="4">+AE4*0.85</f>
        <v>111.53113499999999</v>
      </c>
      <c r="AF7" s="87">
        <f t="shared" si="4"/>
        <v>139.41391874999999</v>
      </c>
      <c r="AG7" s="87">
        <f t="shared" si="4"/>
        <v>167.29670249999998</v>
      </c>
      <c r="AH7" s="87">
        <f t="shared" si="4"/>
        <v>192.39120787499996</v>
      </c>
      <c r="AI7" s="87">
        <f t="shared" si="4"/>
        <v>221.24988905624994</v>
      </c>
      <c r="AJ7" s="87">
        <f t="shared" si="4"/>
        <v>254.43737241468742</v>
      </c>
    </row>
    <row r="8" spans="2:117" s="30" customFormat="1" x14ac:dyDescent="0.2">
      <c r="B8" s="30" t="s">
        <v>72</v>
      </c>
      <c r="D8" s="35"/>
      <c r="F8" s="35"/>
      <c r="H8" s="35"/>
      <c r="J8" s="35"/>
      <c r="K8" s="30">
        <v>1.08</v>
      </c>
      <c r="L8" s="35">
        <f>+AA8-K8</f>
        <v>0</v>
      </c>
      <c r="M8" s="30">
        <v>0.38500000000000001</v>
      </c>
      <c r="N8" s="35">
        <f>+AB8-M8</f>
        <v>0.37</v>
      </c>
      <c r="O8" s="30">
        <v>0.10299999999999999</v>
      </c>
      <c r="P8" s="35">
        <f>+AC8-O8</f>
        <v>0</v>
      </c>
      <c r="Q8" s="30">
        <v>0</v>
      </c>
      <c r="R8" s="35"/>
      <c r="T8" s="35"/>
      <c r="Z8" s="30">
        <v>0</v>
      </c>
      <c r="AA8" s="30">
        <v>1.08</v>
      </c>
      <c r="AB8" s="30">
        <v>0.755</v>
      </c>
      <c r="AC8" s="30">
        <v>0.10299999999999999</v>
      </c>
      <c r="AD8" s="87">
        <f>AVERAGE(Z8:AC8)</f>
        <v>0.48449999999999999</v>
      </c>
      <c r="AE8" s="87">
        <f t="shared" ref="AE8:AJ8" si="5">AVERAGE(AA8:AD8)</f>
        <v>0.60562499999999997</v>
      </c>
      <c r="AF8" s="87">
        <f t="shared" si="5"/>
        <v>0.48703125000000003</v>
      </c>
      <c r="AG8" s="87">
        <f t="shared" si="5"/>
        <v>0.4200390625</v>
      </c>
      <c r="AH8" s="87">
        <f t="shared" si="5"/>
        <v>0.49929882812500004</v>
      </c>
      <c r="AI8" s="87">
        <f t="shared" si="5"/>
        <v>0.50299853515625004</v>
      </c>
      <c r="AJ8" s="87">
        <f t="shared" si="5"/>
        <v>0.47734191894531253</v>
      </c>
    </row>
    <row r="9" spans="2:117" s="29" customFormat="1" x14ac:dyDescent="0.2">
      <c r="B9" s="29" t="s">
        <v>73</v>
      </c>
      <c r="D9" s="34"/>
      <c r="F9" s="34"/>
      <c r="H9" s="34"/>
      <c r="J9" s="34"/>
      <c r="K9" s="29">
        <f>+K6-K7+K8</f>
        <v>4.5639999999999983</v>
      </c>
      <c r="L9" s="34">
        <f>+L6-L7+L8</f>
        <v>0.57100000000000506</v>
      </c>
      <c r="M9" s="29">
        <f>+M6-M7+M8</f>
        <v>4.0719999999999974</v>
      </c>
      <c r="N9" s="34">
        <f>+N6-N7+N8</f>
        <v>3.9340000000000073</v>
      </c>
      <c r="O9" s="29">
        <f>+O6-O7+O8</f>
        <v>2.106999999999998</v>
      </c>
      <c r="P9" s="34">
        <f>+P6-P7+P8</f>
        <v>7.6089999999999947</v>
      </c>
      <c r="Q9" s="29">
        <f>+Q6-Q7+Q8</f>
        <v>-0.3960000000000008</v>
      </c>
      <c r="R9" s="34"/>
      <c r="T9" s="34"/>
      <c r="Z9" s="29">
        <f>+Z6-Z7+Z8</f>
        <v>-16.722999999999999</v>
      </c>
      <c r="AA9" s="29">
        <f>+AA6-AA7+AA8</f>
        <v>5.1350000000000069</v>
      </c>
      <c r="AB9" s="29">
        <f>+AB6-AB7+AB8</f>
        <v>8.0060000000000056</v>
      </c>
      <c r="AC9" s="29">
        <f>+AC6-AC7+AC8</f>
        <v>9.7159999999999993</v>
      </c>
      <c r="AD9" s="86">
        <f t="shared" ref="AD9:AJ9" si="6">+AD6-AD7+AD8</f>
        <v>13.711342399999996</v>
      </c>
      <c r="AE9" s="86">
        <f t="shared" si="6"/>
        <v>17.007262500000007</v>
      </c>
      <c r="AF9" s="86">
        <f t="shared" si="6"/>
        <v>20.989078124999992</v>
      </c>
      <c r="AG9" s="86">
        <f t="shared" si="6"/>
        <v>25.022495312499988</v>
      </c>
      <c r="AH9" s="86">
        <f t="shared" si="6"/>
        <v>25.396984553124973</v>
      </c>
      <c r="AI9" s="86">
        <f t="shared" si="6"/>
        <v>29.13533711890625</v>
      </c>
      <c r="AJ9" s="86">
        <f t="shared" si="6"/>
        <v>33.404531290257808</v>
      </c>
    </row>
    <row r="10" spans="2:117" s="30" customFormat="1" x14ac:dyDescent="0.2">
      <c r="B10" s="30" t="s">
        <v>74</v>
      </c>
      <c r="D10" s="35"/>
      <c r="F10" s="35"/>
      <c r="H10" s="35"/>
      <c r="J10" s="35"/>
      <c r="K10" s="30">
        <v>0</v>
      </c>
      <c r="L10" s="35">
        <f>+AA10-K10</f>
        <v>0</v>
      </c>
      <c r="M10" s="30">
        <v>0</v>
      </c>
      <c r="N10" s="35">
        <f>+AB10-M10</f>
        <v>-3.47</v>
      </c>
      <c r="O10" s="30">
        <v>1.7999999999999999E-2</v>
      </c>
      <c r="P10" s="35">
        <f>+AC10-O10</f>
        <v>3.5000000000000003E-2</v>
      </c>
      <c r="Q10" s="30">
        <v>-3.2789999999999999</v>
      </c>
      <c r="R10" s="35"/>
      <c r="T10" s="35"/>
      <c r="Z10" s="30">
        <v>0</v>
      </c>
      <c r="AA10" s="30">
        <v>0</v>
      </c>
      <c r="AB10" s="30">
        <v>-3.47</v>
      </c>
      <c r="AC10" s="30">
        <v>5.2999999999999999E-2</v>
      </c>
      <c r="AD10" s="87">
        <f>+AVERAGE(Z10:AC10)</f>
        <v>-0.85425000000000006</v>
      </c>
      <c r="AE10" s="87">
        <f t="shared" ref="AE10:AJ10" si="7">+AVERAGE(AA10:AD10)</f>
        <v>-1.0678125000000001</v>
      </c>
      <c r="AF10" s="87">
        <f t="shared" si="7"/>
        <v>-1.3347656250000002</v>
      </c>
      <c r="AG10" s="87">
        <f t="shared" si="7"/>
        <v>-0.80095703125000006</v>
      </c>
      <c r="AH10" s="87">
        <f t="shared" si="7"/>
        <v>-1.0144462890625001</v>
      </c>
      <c r="AI10" s="87">
        <f t="shared" si="7"/>
        <v>-1.0544953613281249</v>
      </c>
      <c r="AJ10" s="87">
        <f t="shared" si="7"/>
        <v>-1.0511660766601563</v>
      </c>
    </row>
    <row r="11" spans="2:117" s="30" customFormat="1" x14ac:dyDescent="0.2">
      <c r="B11" s="30" t="s">
        <v>75</v>
      </c>
      <c r="D11" s="35"/>
      <c r="F11" s="35"/>
      <c r="H11" s="35"/>
      <c r="J11" s="35"/>
      <c r="K11" s="30">
        <v>1.4E-2</v>
      </c>
      <c r="L11" s="35">
        <f>+AA11-K11</f>
        <v>7.9999999999999984E-3</v>
      </c>
      <c r="M11" s="30">
        <v>8.1000000000000003E-2</v>
      </c>
      <c r="N11" s="35">
        <f>+AB11-M11</f>
        <v>0.12000000000000001</v>
      </c>
      <c r="O11" s="30">
        <v>0.47399999999999998</v>
      </c>
      <c r="P11" s="35">
        <f>+AC11-O11</f>
        <v>1.413</v>
      </c>
      <c r="Q11" s="30">
        <v>1.637</v>
      </c>
      <c r="R11" s="35"/>
      <c r="T11" s="35"/>
      <c r="Z11" s="30">
        <v>7.0000000000000007E-2</v>
      </c>
      <c r="AA11" s="30">
        <v>2.1999999999999999E-2</v>
      </c>
      <c r="AB11" s="30">
        <v>0.20100000000000001</v>
      </c>
      <c r="AC11" s="30">
        <v>1.887</v>
      </c>
      <c r="AD11" s="87">
        <f t="shared" ref="AD11:AJ11" si="8">+AVERAGE(Z11:AC11)</f>
        <v>0.54500000000000004</v>
      </c>
      <c r="AE11" s="87">
        <f t="shared" si="8"/>
        <v>0.66374999999999995</v>
      </c>
      <c r="AF11" s="87">
        <f t="shared" si="8"/>
        <v>0.82418749999999996</v>
      </c>
      <c r="AG11" s="87">
        <f t="shared" si="8"/>
        <v>0.97998437499999991</v>
      </c>
      <c r="AH11" s="87">
        <f t="shared" si="8"/>
        <v>0.75323046874999999</v>
      </c>
      <c r="AI11" s="87">
        <f t="shared" si="8"/>
        <v>0.80528808593750001</v>
      </c>
      <c r="AJ11" s="87">
        <f t="shared" si="8"/>
        <v>0.84067260742187488</v>
      </c>
    </row>
    <row r="12" spans="2:117" s="30" customFormat="1" x14ac:dyDescent="0.2">
      <c r="B12" s="30" t="s">
        <v>76</v>
      </c>
      <c r="D12" s="35"/>
      <c r="F12" s="35"/>
      <c r="H12" s="35"/>
      <c r="J12" s="35"/>
      <c r="K12" s="30">
        <v>-0.37</v>
      </c>
      <c r="L12" s="35">
        <f>+AA12-K12</f>
        <v>-0.4</v>
      </c>
      <c r="M12" s="30">
        <v>-0.51800000000000002</v>
      </c>
      <c r="N12" s="35">
        <f>+AB12-M12</f>
        <v>-0.15700000000000003</v>
      </c>
      <c r="O12" s="30">
        <v>-0.15</v>
      </c>
      <c r="P12" s="35">
        <f>+AC12-O12</f>
        <v>-9.9000000000000005E-2</v>
      </c>
      <c r="Q12" s="30">
        <v>-0.115</v>
      </c>
      <c r="R12" s="35"/>
      <c r="T12" s="35"/>
      <c r="Z12" s="30">
        <v>-0.66200000000000003</v>
      </c>
      <c r="AA12" s="30">
        <v>-0.77</v>
      </c>
      <c r="AB12" s="30">
        <v>-0.67500000000000004</v>
      </c>
      <c r="AC12" s="30">
        <v>-0.249</v>
      </c>
      <c r="AD12" s="87">
        <f t="shared" ref="AD12:AJ12" si="9">+AVERAGE(Z12:AC12)</f>
        <v>-0.58900000000000008</v>
      </c>
      <c r="AE12" s="87">
        <f t="shared" si="9"/>
        <v>-0.57074999999999998</v>
      </c>
      <c r="AF12" s="87">
        <f t="shared" si="9"/>
        <v>-0.52093750000000005</v>
      </c>
      <c r="AG12" s="87">
        <f t="shared" si="9"/>
        <v>-0.482421875</v>
      </c>
      <c r="AH12" s="87">
        <f t="shared" si="9"/>
        <v>-0.54077734375000008</v>
      </c>
      <c r="AI12" s="87">
        <f t="shared" si="9"/>
        <v>-0.52872167968750006</v>
      </c>
      <c r="AJ12" s="87">
        <f t="shared" si="9"/>
        <v>-0.51821459960937499</v>
      </c>
    </row>
    <row r="13" spans="2:117" s="30" customFormat="1" x14ac:dyDescent="0.2">
      <c r="B13" s="30" t="s">
        <v>77</v>
      </c>
      <c r="D13" s="35"/>
      <c r="F13" s="35"/>
      <c r="H13" s="35"/>
      <c r="J13" s="35"/>
      <c r="K13" s="30">
        <f>+K9+K10+K11+K12</f>
        <v>4.2079999999999984</v>
      </c>
      <c r="L13" s="35">
        <f>+L9+L10+L11+L12</f>
        <v>0.17900000000000504</v>
      </c>
      <c r="M13" s="30">
        <f>+M9+M10+M11+M12</f>
        <v>3.634999999999998</v>
      </c>
      <c r="N13" s="35">
        <f>+N9+N10+N11+N12</f>
        <v>0.42700000000000704</v>
      </c>
      <c r="O13" s="30">
        <f>+O9+O10+O11+O12</f>
        <v>2.4489999999999976</v>
      </c>
      <c r="P13" s="35">
        <f>+P9+P10+P11+P12</f>
        <v>8.9579999999999949</v>
      </c>
      <c r="Q13" s="30">
        <f>+Q9+Q10+Q11+Q12</f>
        <v>-2.1530000000000009</v>
      </c>
      <c r="R13" s="35"/>
      <c r="T13" s="35"/>
      <c r="Z13" s="30">
        <f>+Z9+Z10+Z11+Z12</f>
        <v>-17.314999999999998</v>
      </c>
      <c r="AA13" s="30">
        <f>+AA9+AA10+AA11+AA12</f>
        <v>4.3870000000000076</v>
      </c>
      <c r="AB13" s="30">
        <f>+AB9+AB10+AB11+AB12</f>
        <v>4.0620000000000047</v>
      </c>
      <c r="AC13" s="30">
        <f>+AC9+AC10+AC11+AC12</f>
        <v>11.407</v>
      </c>
      <c r="AD13" s="87">
        <f t="shared" ref="AD13:AJ13" si="10">+AD9+AD10+AD11+AD12</f>
        <v>12.813092399999995</v>
      </c>
      <c r="AE13" s="87">
        <f t="shared" si="10"/>
        <v>16.032450000000004</v>
      </c>
      <c r="AF13" s="87">
        <f t="shared" si="10"/>
        <v>19.957562499999995</v>
      </c>
      <c r="AG13" s="87">
        <f t="shared" si="10"/>
        <v>24.719100781249988</v>
      </c>
      <c r="AH13" s="87">
        <f t="shared" si="10"/>
        <v>24.594991389062471</v>
      </c>
      <c r="AI13" s="87">
        <f t="shared" si="10"/>
        <v>28.357408163828126</v>
      </c>
      <c r="AJ13" s="87">
        <f t="shared" si="10"/>
        <v>32.675823221410148</v>
      </c>
    </row>
    <row r="14" spans="2:117" s="30" customFormat="1" x14ac:dyDescent="0.2">
      <c r="B14" s="30" t="s">
        <v>78</v>
      </c>
      <c r="D14" s="35"/>
      <c r="F14" s="35"/>
      <c r="H14" s="35"/>
      <c r="J14" s="35"/>
      <c r="K14" s="30">
        <v>0.19</v>
      </c>
      <c r="L14" s="35">
        <f>+AA14-K14</f>
        <v>-2.0720000000000001</v>
      </c>
      <c r="M14" s="30">
        <v>0.216</v>
      </c>
      <c r="N14" s="35">
        <f>+AB14-M14</f>
        <v>-0.45299999999999996</v>
      </c>
      <c r="O14" s="30">
        <v>0.64900000000000002</v>
      </c>
      <c r="P14" s="35">
        <f>+AC14-O14</f>
        <v>0.67199999999999993</v>
      </c>
      <c r="Q14" s="30">
        <v>-1.0840000000000001</v>
      </c>
      <c r="R14" s="35"/>
      <c r="T14" s="35"/>
      <c r="Z14" s="30">
        <v>1.47</v>
      </c>
      <c r="AA14" s="30">
        <v>-1.8819999999999999</v>
      </c>
      <c r="AB14" s="30">
        <v>-0.23699999999999999</v>
      </c>
      <c r="AC14" s="30">
        <v>1.321</v>
      </c>
      <c r="AD14" s="87">
        <f>+AD13*AD25</f>
        <v>2.5626184799999994</v>
      </c>
      <c r="AE14" s="87">
        <f t="shared" ref="AE14:AJ14" si="11">+AE13*AE25</f>
        <v>3.206490000000001</v>
      </c>
      <c r="AF14" s="87">
        <f t="shared" si="11"/>
        <v>3.9915124999999989</v>
      </c>
      <c r="AG14" s="87">
        <f t="shared" si="11"/>
        <v>4.9438201562499984</v>
      </c>
      <c r="AH14" s="87">
        <f t="shared" si="11"/>
        <v>4.918998277812495</v>
      </c>
      <c r="AI14" s="87">
        <f t="shared" si="11"/>
        <v>5.6714816327656257</v>
      </c>
      <c r="AJ14" s="87">
        <f t="shared" si="11"/>
        <v>6.5351646442820304</v>
      </c>
    </row>
    <row r="15" spans="2:117" s="29" customFormat="1" x14ac:dyDescent="0.2">
      <c r="B15" s="29" t="s">
        <v>79</v>
      </c>
      <c r="D15" s="34"/>
      <c r="F15" s="34"/>
      <c r="H15" s="34"/>
      <c r="J15" s="34"/>
      <c r="K15" s="29">
        <f>+K13-K14</f>
        <v>4.017999999999998</v>
      </c>
      <c r="L15" s="34">
        <f>+L13-L14</f>
        <v>2.2510000000000052</v>
      </c>
      <c r="M15" s="29">
        <f>+M13-M14</f>
        <v>3.4189999999999978</v>
      </c>
      <c r="N15" s="34">
        <f>+N13-N14</f>
        <v>0.880000000000007</v>
      </c>
      <c r="O15" s="29">
        <f>+O13-O14</f>
        <v>1.7999999999999976</v>
      </c>
      <c r="P15" s="34">
        <f>+P13-P14</f>
        <v>8.2859999999999943</v>
      </c>
      <c r="Q15" s="29">
        <f>+Q13-Q14</f>
        <v>-1.0690000000000008</v>
      </c>
      <c r="R15" s="34"/>
      <c r="T15" s="34"/>
      <c r="Z15" s="29">
        <f>+Z13-Z14</f>
        <v>-18.784999999999997</v>
      </c>
      <c r="AA15" s="29">
        <f>+AA13-AA14</f>
        <v>6.2690000000000072</v>
      </c>
      <c r="AB15" s="29">
        <f>+AB13-AB14</f>
        <v>4.2990000000000048</v>
      </c>
      <c r="AC15" s="29">
        <f>+AC13-AC14</f>
        <v>10.086</v>
      </c>
      <c r="AD15" s="86">
        <f t="shared" ref="AD15:AJ15" si="12">+AD13-AD14</f>
        <v>10.250473919999996</v>
      </c>
      <c r="AE15" s="86">
        <f t="shared" si="12"/>
        <v>12.825960000000004</v>
      </c>
      <c r="AF15" s="86">
        <f t="shared" si="12"/>
        <v>15.966049999999996</v>
      </c>
      <c r="AG15" s="86">
        <f t="shared" si="12"/>
        <v>19.77528062499999</v>
      </c>
      <c r="AH15" s="86">
        <f t="shared" si="12"/>
        <v>19.675993111249976</v>
      </c>
      <c r="AI15" s="86">
        <f t="shared" si="12"/>
        <v>22.685926531062499</v>
      </c>
      <c r="AJ15" s="86">
        <f t="shared" si="12"/>
        <v>26.140658577128118</v>
      </c>
      <c r="AK15" s="29">
        <f>+AJ15*(1+$AN$21)</f>
        <v>26.402065162899401</v>
      </c>
      <c r="AL15" s="29">
        <f t="shared" ref="AL15:CW15" si="13">+AK15*(1+$AN$21)</f>
        <v>26.666085814528394</v>
      </c>
      <c r="AM15" s="29">
        <f t="shared" si="13"/>
        <v>26.932746672673677</v>
      </c>
      <c r="AN15" s="29">
        <f t="shared" si="13"/>
        <v>27.202074139400413</v>
      </c>
      <c r="AO15" s="29">
        <f t="shared" si="13"/>
        <v>27.474094880794418</v>
      </c>
      <c r="AP15" s="29">
        <f t="shared" si="13"/>
        <v>27.748835829602363</v>
      </c>
      <c r="AQ15" s="29">
        <f t="shared" si="13"/>
        <v>28.026324187898386</v>
      </c>
      <c r="AR15" s="29">
        <f t="shared" si="13"/>
        <v>28.30658742977737</v>
      </c>
      <c r="AS15" s="29">
        <f t="shared" si="13"/>
        <v>28.589653304075142</v>
      </c>
      <c r="AT15" s="29">
        <f t="shared" si="13"/>
        <v>28.875549837115894</v>
      </c>
      <c r="AU15" s="29">
        <f t="shared" si="13"/>
        <v>29.164305335487054</v>
      </c>
      <c r="AV15" s="29">
        <f t="shared" si="13"/>
        <v>29.455948388841925</v>
      </c>
      <c r="AW15" s="29">
        <f t="shared" si="13"/>
        <v>29.750507872730346</v>
      </c>
      <c r="AX15" s="29">
        <f t="shared" si="13"/>
        <v>30.04801295145765</v>
      </c>
      <c r="AY15" s="29">
        <f t="shared" si="13"/>
        <v>30.348493080972226</v>
      </c>
      <c r="AZ15" s="29">
        <f t="shared" si="13"/>
        <v>30.651978011781949</v>
      </c>
      <c r="BA15" s="29">
        <f t="shared" si="13"/>
        <v>30.95849779189977</v>
      </c>
      <c r="BB15" s="29">
        <f t="shared" si="13"/>
        <v>31.268082769818768</v>
      </c>
      <c r="BC15" s="29">
        <f t="shared" si="13"/>
        <v>31.580763597516956</v>
      </c>
      <c r="BD15" s="29">
        <f t="shared" si="13"/>
        <v>31.896571233492125</v>
      </c>
      <c r="BE15" s="29">
        <f t="shared" si="13"/>
        <v>32.215536945827047</v>
      </c>
      <c r="BF15" s="29">
        <f t="shared" si="13"/>
        <v>32.537692315285319</v>
      </c>
      <c r="BG15" s="29">
        <f t="shared" si="13"/>
        <v>32.863069238438172</v>
      </c>
      <c r="BH15" s="29">
        <f t="shared" si="13"/>
        <v>33.191699930822551</v>
      </c>
      <c r="BI15" s="29">
        <f t="shared" si="13"/>
        <v>33.523616930130778</v>
      </c>
      <c r="BJ15" s="29">
        <f t="shared" si="13"/>
        <v>33.858853099432089</v>
      </c>
      <c r="BK15" s="29">
        <f t="shared" si="13"/>
        <v>34.197441630426411</v>
      </c>
      <c r="BL15" s="29">
        <f t="shared" si="13"/>
        <v>34.539416046730679</v>
      </c>
      <c r="BM15" s="29">
        <f t="shared" si="13"/>
        <v>34.884810207197987</v>
      </c>
      <c r="BN15" s="29">
        <f t="shared" si="13"/>
        <v>35.23365830926997</v>
      </c>
      <c r="BO15" s="29">
        <f t="shared" si="13"/>
        <v>35.58599489236267</v>
      </c>
      <c r="BP15" s="29">
        <f t="shared" si="13"/>
        <v>35.9418548412863</v>
      </c>
      <c r="BQ15" s="29">
        <f t="shared" si="13"/>
        <v>36.301273389699162</v>
      </c>
      <c r="BR15" s="29">
        <f t="shared" si="13"/>
        <v>36.664286123596156</v>
      </c>
      <c r="BS15" s="29">
        <f t="shared" si="13"/>
        <v>37.030928984832116</v>
      </c>
      <c r="BT15" s="29">
        <f t="shared" si="13"/>
        <v>37.401238274680438</v>
      </c>
      <c r="BU15" s="29">
        <f t="shared" si="13"/>
        <v>37.775250657427243</v>
      </c>
      <c r="BV15" s="29">
        <f t="shared" si="13"/>
        <v>38.153003164001518</v>
      </c>
      <c r="BW15" s="29">
        <f t="shared" si="13"/>
        <v>38.534533195641536</v>
      </c>
      <c r="BX15" s="29">
        <f t="shared" si="13"/>
        <v>38.919878527597952</v>
      </c>
      <c r="BY15" s="29">
        <f t="shared" si="13"/>
        <v>39.309077312873931</v>
      </c>
      <c r="BZ15" s="29">
        <f t="shared" si="13"/>
        <v>39.702168086002672</v>
      </c>
      <c r="CA15" s="29">
        <f t="shared" si="13"/>
        <v>40.0991897668627</v>
      </c>
      <c r="CB15" s="29">
        <f t="shared" si="13"/>
        <v>40.500181664531326</v>
      </c>
      <c r="CC15" s="29">
        <f t="shared" si="13"/>
        <v>40.905183481176643</v>
      </c>
      <c r="CD15" s="29">
        <f t="shared" si="13"/>
        <v>41.314235315988412</v>
      </c>
      <c r="CE15" s="29">
        <f t="shared" si="13"/>
        <v>41.727377669148296</v>
      </c>
      <c r="CF15" s="29">
        <f t="shared" si="13"/>
        <v>42.144651445839777</v>
      </c>
      <c r="CG15" s="29">
        <f t="shared" si="13"/>
        <v>42.566097960298173</v>
      </c>
      <c r="CH15" s="29">
        <f t="shared" si="13"/>
        <v>42.991758939901153</v>
      </c>
      <c r="CI15" s="29">
        <f t="shared" si="13"/>
        <v>43.421676529300164</v>
      </c>
      <c r="CJ15" s="29">
        <f t="shared" si="13"/>
        <v>43.855893294593166</v>
      </c>
      <c r="CK15" s="29">
        <f t="shared" si="13"/>
        <v>44.294452227539097</v>
      </c>
      <c r="CL15" s="29">
        <f t="shared" si="13"/>
        <v>44.737396749814486</v>
      </c>
      <c r="CM15" s="29">
        <f t="shared" si="13"/>
        <v>45.184770717312631</v>
      </c>
      <c r="CN15" s="29">
        <f t="shared" si="13"/>
        <v>45.636618424485761</v>
      </c>
      <c r="CO15" s="29">
        <f t="shared" si="13"/>
        <v>46.092984608730617</v>
      </c>
      <c r="CP15" s="29">
        <f t="shared" si="13"/>
        <v>46.553914454817921</v>
      </c>
      <c r="CQ15" s="29">
        <f t="shared" si="13"/>
        <v>47.019453599366102</v>
      </c>
      <c r="CR15" s="29">
        <f t="shared" si="13"/>
        <v>47.489648135359765</v>
      </c>
      <c r="CS15" s="29">
        <f t="shared" si="13"/>
        <v>47.964544616713361</v>
      </c>
      <c r="CT15" s="29">
        <f t="shared" si="13"/>
        <v>48.444190062880494</v>
      </c>
      <c r="CU15" s="29">
        <f t="shared" si="13"/>
        <v>48.928631963509297</v>
      </c>
      <c r="CV15" s="29">
        <f t="shared" si="13"/>
        <v>49.417918283144388</v>
      </c>
      <c r="CW15" s="29">
        <f t="shared" si="13"/>
        <v>49.912097465975833</v>
      </c>
      <c r="CX15" s="29">
        <f t="shared" ref="CX15:DM15" si="14">+CW15*(1+$AN$21)</f>
        <v>50.411218440635594</v>
      </c>
      <c r="CY15" s="29">
        <f t="shared" si="14"/>
        <v>50.915330625041953</v>
      </c>
      <c r="CZ15" s="29">
        <f t="shared" si="14"/>
        <v>51.424483931292372</v>
      </c>
      <c r="DA15" s="29">
        <f t="shared" si="14"/>
        <v>51.938728770605294</v>
      </c>
      <c r="DB15" s="29">
        <f t="shared" si="14"/>
        <v>52.458116058311347</v>
      </c>
      <c r="DC15" s="29">
        <f t="shared" si="14"/>
        <v>52.982697218894458</v>
      </c>
      <c r="DD15" s="29">
        <f t="shared" si="14"/>
        <v>53.512524191083401</v>
      </c>
      <c r="DE15" s="29">
        <f t="shared" si="14"/>
        <v>54.047649432994234</v>
      </c>
      <c r="DF15" s="29">
        <f t="shared" si="14"/>
        <v>54.588125927324178</v>
      </c>
      <c r="DG15" s="29">
        <f t="shared" si="14"/>
        <v>55.134007186597422</v>
      </c>
      <c r="DH15" s="29">
        <f t="shared" si="14"/>
        <v>55.685347258463395</v>
      </c>
      <c r="DI15" s="29">
        <f t="shared" si="14"/>
        <v>56.24220073104803</v>
      </c>
      <c r="DJ15" s="29">
        <f t="shared" si="14"/>
        <v>56.804622738358511</v>
      </c>
      <c r="DK15" s="29">
        <f t="shared" si="14"/>
        <v>57.372668965742093</v>
      </c>
      <c r="DL15" s="29">
        <f t="shared" si="14"/>
        <v>57.946395655399513</v>
      </c>
      <c r="DM15" s="29">
        <f t="shared" si="14"/>
        <v>58.525859611953507</v>
      </c>
    </row>
    <row r="16" spans="2:117" s="26" customFormat="1" x14ac:dyDescent="0.2">
      <c r="B16" s="26" t="s">
        <v>80</v>
      </c>
      <c r="D16" s="36"/>
      <c r="F16" s="36"/>
      <c r="H16" s="36"/>
      <c r="J16" s="36"/>
      <c r="K16" s="26">
        <f>+K15/K17</f>
        <v>1.3799972523698302E-2</v>
      </c>
      <c r="L16" s="36">
        <f>+L15/L17</f>
        <v>7.6571046879557216E-3</v>
      </c>
      <c r="M16" s="26">
        <f>+M15/M17</f>
        <v>1.1500168180289263E-2</v>
      </c>
      <c r="N16" s="36">
        <f>N15/N17</f>
        <v>2.9404885220703949E-3</v>
      </c>
      <c r="O16" s="26">
        <f>O15/O17</f>
        <v>5.9999999999999923E-3</v>
      </c>
      <c r="P16" s="36">
        <f>+P15/P17</f>
        <v>2.7522120879745673E-2</v>
      </c>
      <c r="Q16" s="26">
        <f>+Q15/Q17</f>
        <v>-3.5277196744453992E-3</v>
      </c>
      <c r="R16" s="36"/>
      <c r="T16" s="36"/>
      <c r="Z16" s="26">
        <f>+Z15/Z17</f>
        <v>-6.8599260292186021E-2</v>
      </c>
      <c r="AA16" s="26">
        <f>+AA15/AA17</f>
        <v>2.1324917498353781E-2</v>
      </c>
      <c r="AB16" s="26">
        <f>+AB15/AB17</f>
        <v>1.4364954723159705E-2</v>
      </c>
      <c r="AC16" s="26">
        <f>+AC15/AC17</f>
        <v>3.3500858217851197E-2</v>
      </c>
      <c r="AD16" s="65">
        <f t="shared" ref="AD16:AJ16" si="15">+AD15/AD17</f>
        <v>3.4047161754878173E-2</v>
      </c>
      <c r="AE16" s="65">
        <f t="shared" si="15"/>
        <v>4.2601692193915415E-2</v>
      </c>
      <c r="AF16" s="65">
        <f t="shared" si="15"/>
        <v>5.3031566265033012E-2</v>
      </c>
      <c r="AG16" s="65">
        <f t="shared" si="15"/>
        <v>6.568400480233437E-2</v>
      </c>
      <c r="AH16" s="65">
        <f t="shared" si="15"/>
        <v>6.5354219265853886E-2</v>
      </c>
      <c r="AI16" s="65">
        <f t="shared" si="15"/>
        <v>7.5351775555989847E-2</v>
      </c>
      <c r="AJ16" s="65">
        <f t="shared" si="15"/>
        <v>8.6826739709857714E-2</v>
      </c>
    </row>
    <row r="17" spans="1:40" s="16" customFormat="1" x14ac:dyDescent="0.2">
      <c r="B17" s="16" t="s">
        <v>4</v>
      </c>
      <c r="D17" s="37"/>
      <c r="F17" s="37"/>
      <c r="H17" s="37"/>
      <c r="J17" s="37"/>
      <c r="K17" s="16">
        <v>291.16000000000003</v>
      </c>
      <c r="L17" s="37">
        <f>+AA17</f>
        <v>293.975346</v>
      </c>
      <c r="M17" s="16">
        <v>297.3</v>
      </c>
      <c r="N17" s="37">
        <f>AB17</f>
        <v>299.27</v>
      </c>
      <c r="O17" s="16">
        <v>300</v>
      </c>
      <c r="P17" s="37">
        <v>301.066914</v>
      </c>
      <c r="Q17" s="16">
        <v>303.02861300000001</v>
      </c>
      <c r="R17" s="37"/>
      <c r="T17" s="37"/>
      <c r="Z17" s="16">
        <v>273.836772</v>
      </c>
      <c r="AA17" s="16">
        <v>293.975346</v>
      </c>
      <c r="AB17" s="16">
        <v>299.27</v>
      </c>
      <c r="AC17" s="16">
        <v>301.066914</v>
      </c>
      <c r="AD17" s="63">
        <f>+AC17</f>
        <v>301.066914</v>
      </c>
      <c r="AE17" s="63">
        <f t="shared" ref="AE17:AJ17" si="16">+AD17</f>
        <v>301.066914</v>
      </c>
      <c r="AF17" s="63">
        <f t="shared" si="16"/>
        <v>301.066914</v>
      </c>
      <c r="AG17" s="63">
        <f t="shared" si="16"/>
        <v>301.066914</v>
      </c>
      <c r="AH17" s="63">
        <f t="shared" si="16"/>
        <v>301.066914</v>
      </c>
      <c r="AI17" s="63">
        <f t="shared" si="16"/>
        <v>301.066914</v>
      </c>
      <c r="AJ17" s="63">
        <f t="shared" si="16"/>
        <v>301.066914</v>
      </c>
    </row>
    <row r="19" spans="1:40" s="31" customFormat="1" x14ac:dyDescent="0.2">
      <c r="B19" s="31" t="s">
        <v>82</v>
      </c>
      <c r="D19" s="38"/>
      <c r="F19" s="38"/>
      <c r="H19" s="38"/>
      <c r="J19" s="38"/>
      <c r="L19" s="38"/>
      <c r="M19" s="31">
        <f>+M4/K4-1</f>
        <v>-1.1919882755251576E-2</v>
      </c>
      <c r="N19" s="38">
        <f>N4/L4-1</f>
        <v>-0.13091523660946447</v>
      </c>
      <c r="O19" s="31">
        <f>+O4/M4-1</f>
        <v>0.25824845907907323</v>
      </c>
      <c r="P19" s="38">
        <f>P4/N4-1</f>
        <v>0.33271503365744182</v>
      </c>
      <c r="Q19" s="31">
        <f>+Q4/O4-1</f>
        <v>0.2386441033163933</v>
      </c>
      <c r="R19" s="38">
        <v>0.22</v>
      </c>
      <c r="T19" s="38"/>
      <c r="AA19" s="31">
        <f t="shared" ref="AA19:AC19" si="17">+AA4/Z4-1</f>
        <v>0.22628630190418786</v>
      </c>
      <c r="AB19" s="31">
        <f t="shared" si="17"/>
        <v>-7.8088628641654112E-2</v>
      </c>
      <c r="AC19" s="31">
        <f>+AC4/AB4-1</f>
        <v>0.29728373376827033</v>
      </c>
      <c r="AD19" s="88">
        <f>+AD4/AC4-1</f>
        <v>0.26898549323017407</v>
      </c>
      <c r="AE19" s="88">
        <v>0.25</v>
      </c>
      <c r="AF19" s="88">
        <v>0.25</v>
      </c>
      <c r="AG19" s="88">
        <v>0.2</v>
      </c>
      <c r="AH19" s="88">
        <v>0.15</v>
      </c>
      <c r="AI19" s="88">
        <v>0.15</v>
      </c>
      <c r="AJ19" s="88">
        <v>0.15</v>
      </c>
    </row>
    <row r="20" spans="1:40" x14ac:dyDescent="0.2">
      <c r="B20" s="1" t="s">
        <v>83</v>
      </c>
      <c r="L20" s="40">
        <f>+L4/K4-1</f>
        <v>0.25256472887151959</v>
      </c>
      <c r="M20" s="28">
        <f>+M4/L4-1</f>
        <v>-0.21115444617784729</v>
      </c>
      <c r="N20" s="40">
        <f>+N4/M4-1</f>
        <v>0.10171726161046846</v>
      </c>
      <c r="O20" s="28">
        <f>+O4/N4-1</f>
        <v>0.14207928197456976</v>
      </c>
      <c r="P20" s="40">
        <f>+P4/O4-1</f>
        <v>0.16691989312097233</v>
      </c>
      <c r="Q20" s="28">
        <f>+Q4/P4-1</f>
        <v>6.1464553495263363E-2</v>
      </c>
      <c r="AA20" s="18" t="s">
        <v>134</v>
      </c>
      <c r="AB20" s="18" t="s">
        <v>134</v>
      </c>
      <c r="AC20" s="18" t="s">
        <v>134</v>
      </c>
    </row>
    <row r="21" spans="1:40" x14ac:dyDescent="0.2">
      <c r="AM21" s="96" t="s">
        <v>155</v>
      </c>
      <c r="AN21" s="97">
        <v>0.01</v>
      </c>
    </row>
    <row r="22" spans="1:40" s="28" customFormat="1" x14ac:dyDescent="0.2">
      <c r="B22" s="28" t="s">
        <v>84</v>
      </c>
      <c r="D22" s="40"/>
      <c r="F22" s="40"/>
      <c r="H22" s="40"/>
      <c r="J22" s="40"/>
      <c r="K22" s="28">
        <f>+K6/K4</f>
        <v>0.95912717798404168</v>
      </c>
      <c r="L22" s="40">
        <f>+L6/L4</f>
        <v>0.88356734269370774</v>
      </c>
      <c r="M22" s="28">
        <f>+M6/M4</f>
        <v>0.96835755957678238</v>
      </c>
      <c r="N22" s="40">
        <f>+N6/N4</f>
        <v>0.97573672400897538</v>
      </c>
      <c r="O22" s="28">
        <f>+O6/O4</f>
        <v>0.96552627442762085</v>
      </c>
      <c r="P22" s="40">
        <f>+P6/P4</f>
        <v>0.98352265074305212</v>
      </c>
      <c r="Q22" s="28">
        <f>+Q6/Q4</f>
        <v>0.9711318839353692</v>
      </c>
      <c r="R22" s="40">
        <v>0.98</v>
      </c>
      <c r="T22" s="40"/>
      <c r="Z22" s="28">
        <f>+Z6/Z4</f>
        <v>0.91268040140420559</v>
      </c>
      <c r="AA22" s="28">
        <f>+AA6/AA4</f>
        <v>0.9171112556929083</v>
      </c>
      <c r="AB22" s="28">
        <f>+AB6/AB4</f>
        <v>0.97222570729565272</v>
      </c>
      <c r="AC22" s="28">
        <f>+AC6/AC4</f>
        <v>0.97521760154738879</v>
      </c>
      <c r="AD22" s="89">
        <v>0.97499999999999998</v>
      </c>
      <c r="AE22" s="89">
        <v>0.97499999999999998</v>
      </c>
      <c r="AF22" s="89">
        <v>0.97499999999999998</v>
      </c>
      <c r="AG22" s="89">
        <v>0.97499999999999998</v>
      </c>
      <c r="AH22" s="89">
        <v>0.96</v>
      </c>
      <c r="AI22" s="89">
        <v>0.96</v>
      </c>
      <c r="AJ22" s="89">
        <v>0.96</v>
      </c>
      <c r="AM22" s="98" t="s">
        <v>156</v>
      </c>
      <c r="AN22" s="99">
        <v>0.08</v>
      </c>
    </row>
    <row r="23" spans="1:40" s="28" customFormat="1" x14ac:dyDescent="0.2">
      <c r="B23" s="28" t="s">
        <v>85</v>
      </c>
      <c r="D23" s="40"/>
      <c r="F23" s="40"/>
      <c r="H23" s="40"/>
      <c r="J23" s="40"/>
      <c r="K23" s="28">
        <f>+K9/K4</f>
        <v>0.14864028659827386</v>
      </c>
      <c r="L23" s="40">
        <f>+L9/L4</f>
        <v>1.4846593863754679E-2</v>
      </c>
      <c r="M23" s="28">
        <f>+M9/M4</f>
        <v>0.13421668479514809</v>
      </c>
      <c r="N23" s="40">
        <f>+N9/N4</f>
        <v>0.11769633507853423</v>
      </c>
      <c r="O23" s="28">
        <f>+O9/O4</f>
        <v>5.5194635091947344E-2</v>
      </c>
      <c r="P23" s="40">
        <f>+P9/P4</f>
        <v>0.1708121941363982</v>
      </c>
      <c r="Q23" s="28">
        <f>+Q9/Q4</f>
        <v>-8.3749259791895941E-3</v>
      </c>
      <c r="R23" s="40"/>
      <c r="T23" s="40"/>
      <c r="Z23" s="28">
        <f>+Z9/Z4</f>
        <v>-0.2964965781355271</v>
      </c>
      <c r="AA23" s="28">
        <f>+AA9/AA4</f>
        <v>7.4242752837417866E-2</v>
      </c>
      <c r="AB23" s="28">
        <f>+AB9/AB4</f>
        <v>0.12555674048052201</v>
      </c>
      <c r="AC23" s="28">
        <f>+AC9/AC4</f>
        <v>0.11745647969052224</v>
      </c>
      <c r="AD23" s="89">
        <f t="shared" ref="AD23:AJ23" si="18">+AD9/AD4</f>
        <v>0.13062093647661702</v>
      </c>
      <c r="AE23" s="89">
        <f t="shared" si="18"/>
        <v>0.12961558335257689</v>
      </c>
      <c r="AF23" s="89">
        <f t="shared" si="18"/>
        <v>0.1279694062559302</v>
      </c>
      <c r="AG23" s="89">
        <f t="shared" si="18"/>
        <v>0.12713413174192714</v>
      </c>
      <c r="AH23" s="89">
        <f t="shared" si="18"/>
        <v>0.1122059428213683</v>
      </c>
      <c r="AI23" s="89">
        <f t="shared" si="18"/>
        <v>0.11193242471987916</v>
      </c>
      <c r="AJ23" s="89">
        <f t="shared" si="18"/>
        <v>0.11159465815596553</v>
      </c>
      <c r="AM23" s="98" t="s">
        <v>157</v>
      </c>
      <c r="AN23" s="100">
        <f>+NPV(AN22,Z15:DM15)</f>
        <v>226.48054462057561</v>
      </c>
    </row>
    <row r="24" spans="1:40" s="28" customFormat="1" x14ac:dyDescent="0.2">
      <c r="B24" s="28" t="s">
        <v>86</v>
      </c>
      <c r="D24" s="40"/>
      <c r="F24" s="40"/>
      <c r="H24" s="40"/>
      <c r="J24" s="40"/>
      <c r="K24" s="28">
        <f>+K15/K4</f>
        <v>0.13085816642240672</v>
      </c>
      <c r="L24" s="40">
        <f>+L15/L4</f>
        <v>5.8528341133645467E-2</v>
      </c>
      <c r="M24" s="28">
        <f>+M15/M4</f>
        <v>0.11269323313227192</v>
      </c>
      <c r="N24" s="40">
        <f>+N15/N4</f>
        <v>2.6327599102468419E-2</v>
      </c>
      <c r="O24" s="28">
        <f>+O15/O4</f>
        <v>4.7152512181065587E-2</v>
      </c>
      <c r="P24" s="40">
        <f>+P15/P4</f>
        <v>0.18600996722489099</v>
      </c>
      <c r="Q24" s="28">
        <f>+Q15/Q4</f>
        <v>-2.2608070383216328E-2</v>
      </c>
      <c r="R24" s="40"/>
      <c r="T24" s="40"/>
      <c r="Z24" s="28">
        <f>+Z15/Z4</f>
        <v>-0.33305556540548203</v>
      </c>
      <c r="AA24" s="28">
        <f>+AA15/AA4</f>
        <v>9.0638328634425017E-2</v>
      </c>
      <c r="AB24" s="28">
        <f>+AB15/AB4</f>
        <v>6.7420488049683286E-2</v>
      </c>
      <c r="AC24" s="28">
        <f>+AC15/AC4</f>
        <v>0.1219294003868472</v>
      </c>
      <c r="AD24" s="89">
        <f t="shared" ref="AD24:AJ24" si="19">+AD15/AD4</f>
        <v>9.7651015028225041E-2</v>
      </c>
      <c r="AE24" s="89">
        <f t="shared" si="19"/>
        <v>9.7749081456043677E-2</v>
      </c>
      <c r="AF24" s="89">
        <f t="shared" si="19"/>
        <v>9.7344243829312754E-2</v>
      </c>
      <c r="AG24" s="89">
        <f t="shared" si="19"/>
        <v>0.10047411742171065</v>
      </c>
      <c r="AH24" s="89">
        <f t="shared" si="19"/>
        <v>8.6930137449049913E-2</v>
      </c>
      <c r="AI24" s="89">
        <f t="shared" si="19"/>
        <v>8.7155015686813109E-2</v>
      </c>
      <c r="AJ24" s="89">
        <f t="shared" si="19"/>
        <v>8.7328208036769814E-2</v>
      </c>
      <c r="AM24" s="98" t="s">
        <v>8</v>
      </c>
      <c r="AN24" s="101">
        <f>+Q67</f>
        <v>139.637</v>
      </c>
    </row>
    <row r="25" spans="1:40" s="28" customFormat="1" x14ac:dyDescent="0.2">
      <c r="B25" s="28" t="s">
        <v>87</v>
      </c>
      <c r="D25" s="40"/>
      <c r="F25" s="40"/>
      <c r="H25" s="40"/>
      <c r="J25" s="40"/>
      <c r="K25" s="28">
        <f>+K14/K13</f>
        <v>4.515209125475287E-2</v>
      </c>
      <c r="L25" s="40">
        <f>+L14/L13</f>
        <v>-11.575418994413083</v>
      </c>
      <c r="M25" s="28">
        <f>+M14/M13</f>
        <v>5.9422283356258626E-2</v>
      </c>
      <c r="N25" s="40">
        <f>+N14/N13</f>
        <v>-1.0608899297423711</v>
      </c>
      <c r="O25" s="28">
        <f>+O14/O13</f>
        <v>0.26500612494895903</v>
      </c>
      <c r="P25" s="40">
        <f>+P14/P13</f>
        <v>7.5016744809109207E-2</v>
      </c>
      <c r="Q25" s="28">
        <f>+Q14/Q13</f>
        <v>0.50348351137947034</v>
      </c>
      <c r="R25" s="40"/>
      <c r="T25" s="40"/>
      <c r="Z25" s="28">
        <f>+Z14/Z13</f>
        <v>-8.4897487727403992E-2</v>
      </c>
      <c r="AA25" s="28">
        <f>+AA14/AA13</f>
        <v>-0.42899475723729125</v>
      </c>
      <c r="AB25" s="28">
        <f>+AB14/AB13</f>
        <v>-5.8345642540620316E-2</v>
      </c>
      <c r="AC25" s="28">
        <f>+AC14/AC13</f>
        <v>0.11580608398351888</v>
      </c>
      <c r="AD25" s="89">
        <v>0.2</v>
      </c>
      <c r="AE25" s="89">
        <v>0.2</v>
      </c>
      <c r="AF25" s="89">
        <v>0.2</v>
      </c>
      <c r="AG25" s="89">
        <v>0.2</v>
      </c>
      <c r="AH25" s="89">
        <v>0.2</v>
      </c>
      <c r="AI25" s="89">
        <v>0.2</v>
      </c>
      <c r="AJ25" s="89">
        <v>0.2</v>
      </c>
      <c r="AM25" s="98" t="s">
        <v>158</v>
      </c>
      <c r="AN25" s="102">
        <f>+AN23+AN24</f>
        <v>366.11754462057559</v>
      </c>
    </row>
    <row r="26" spans="1:40" x14ac:dyDescent="0.2">
      <c r="AM26" s="103" t="s">
        <v>159</v>
      </c>
      <c r="AN26" s="104">
        <f>+AN25/Main!C7</f>
        <v>1.2081946354702009</v>
      </c>
    </row>
    <row r="27" spans="1:40" x14ac:dyDescent="0.2">
      <c r="B27" s="41" t="s">
        <v>117</v>
      </c>
      <c r="AM27" s="105" t="s">
        <v>160</v>
      </c>
      <c r="AN27" s="106">
        <f>+AN26*Main!C8</f>
        <v>589.70552912036112</v>
      </c>
    </row>
    <row r="28" spans="1:40" s="50" customFormat="1" x14ac:dyDescent="0.2">
      <c r="A28" s="52" t="s">
        <v>128</v>
      </c>
      <c r="B28" s="50" t="s">
        <v>118</v>
      </c>
      <c r="D28" s="51"/>
      <c r="F28" s="51"/>
      <c r="H28" s="51"/>
      <c r="J28" s="51"/>
      <c r="K28" s="50">
        <v>4000</v>
      </c>
      <c r="L28" s="51">
        <f>+Z28</f>
        <v>6900</v>
      </c>
      <c r="M28" s="50">
        <v>4300</v>
      </c>
      <c r="N28" s="51">
        <f>+AA28</f>
        <v>8200</v>
      </c>
      <c r="O28" s="50">
        <v>5000</v>
      </c>
      <c r="P28" s="51"/>
      <c r="Q28" s="50">
        <v>5800</v>
      </c>
      <c r="R28" s="51"/>
      <c r="T28" s="51"/>
      <c r="Z28" s="50">
        <v>6900</v>
      </c>
      <c r="AA28" s="50">
        <v>8200</v>
      </c>
      <c r="AD28" s="90"/>
      <c r="AE28" s="90"/>
      <c r="AF28" s="90"/>
      <c r="AG28" s="90"/>
      <c r="AH28" s="90"/>
      <c r="AI28" s="90"/>
      <c r="AJ28" s="90"/>
    </row>
    <row r="29" spans="1:40" s="48" customFormat="1" x14ac:dyDescent="0.2">
      <c r="A29" s="53"/>
      <c r="B29" s="47" t="s">
        <v>119</v>
      </c>
      <c r="D29" s="49"/>
      <c r="F29" s="49"/>
      <c r="H29" s="49"/>
      <c r="J29" s="49"/>
      <c r="L29" s="49"/>
      <c r="M29" s="48">
        <f>+M28/K28-1</f>
        <v>7.4999999999999956E-2</v>
      </c>
      <c r="N29" s="49">
        <f>+N28/L28-1</f>
        <v>0.18840579710144922</v>
      </c>
      <c r="O29" s="48">
        <f>+O28/M28-1</f>
        <v>0.16279069767441867</v>
      </c>
      <c r="P29" s="49"/>
      <c r="Q29" s="48">
        <f>+Q28/O28-1</f>
        <v>0.15999999999999992</v>
      </c>
      <c r="R29" s="49"/>
      <c r="T29" s="49"/>
      <c r="AA29" s="48">
        <f>+AA28/Z28-1</f>
        <v>0.18840579710144922</v>
      </c>
    </row>
    <row r="30" spans="1:40" x14ac:dyDescent="0.2">
      <c r="A30" s="54" t="s">
        <v>127</v>
      </c>
      <c r="B30" s="1" t="s">
        <v>120</v>
      </c>
      <c r="M30" s="46">
        <v>7.0000000000000001E-3</v>
      </c>
      <c r="N30" s="84">
        <f>+AA30</f>
        <v>7.4999999999999997E-3</v>
      </c>
      <c r="O30" s="46">
        <v>7.6E-3</v>
      </c>
      <c r="Q30" s="46">
        <v>8.0999999999999996E-3</v>
      </c>
      <c r="AA30" s="46">
        <v>7.4999999999999997E-3</v>
      </c>
    </row>
    <row r="31" spans="1:40" s="48" customFormat="1" x14ac:dyDescent="0.2">
      <c r="A31" s="53"/>
      <c r="B31" s="47" t="s">
        <v>121</v>
      </c>
      <c r="D31" s="49"/>
      <c r="F31" s="49"/>
      <c r="H31" s="49"/>
      <c r="J31" s="49"/>
      <c r="L31" s="49"/>
      <c r="N31" s="49"/>
      <c r="O31" s="48">
        <f>+O30/M30-1</f>
        <v>8.5714285714285632E-2</v>
      </c>
      <c r="P31" s="49"/>
      <c r="Q31" s="48">
        <f>+Q30/O30-1</f>
        <v>6.5789473684210398E-2</v>
      </c>
      <c r="R31" s="49"/>
      <c r="T31" s="49"/>
    </row>
    <row r="32" spans="1:40" x14ac:dyDescent="0.2">
      <c r="A32" s="54" t="s">
        <v>126</v>
      </c>
      <c r="B32" s="1" t="s">
        <v>122</v>
      </c>
      <c r="K32" s="1">
        <v>37.9</v>
      </c>
      <c r="L32" s="39">
        <f>+Z32</f>
        <v>28.8</v>
      </c>
      <c r="M32" s="1">
        <v>46.3</v>
      </c>
      <c r="N32" s="39">
        <f>+AA32</f>
        <v>32.299999999999997</v>
      </c>
      <c r="O32" s="1">
        <v>61.2</v>
      </c>
      <c r="Q32" s="1">
        <v>79.599999999999994</v>
      </c>
      <c r="Z32" s="1">
        <v>28.8</v>
      </c>
      <c r="AA32" s="1">
        <v>32.299999999999997</v>
      </c>
    </row>
    <row r="33" spans="1:36" s="48" customFormat="1" x14ac:dyDescent="0.2">
      <c r="A33" s="53"/>
      <c r="B33" s="47" t="s">
        <v>123</v>
      </c>
      <c r="D33" s="49"/>
      <c r="F33" s="49"/>
      <c r="H33" s="49"/>
      <c r="J33" s="49"/>
      <c r="L33" s="49"/>
      <c r="M33" s="48">
        <f>+M32/K32-1</f>
        <v>0.22163588390501321</v>
      </c>
      <c r="N33" s="49">
        <f>+N32/L32-1</f>
        <v>0.12152777777777768</v>
      </c>
      <c r="O33" s="48">
        <f>+O32/M32-1</f>
        <v>0.32181425485961146</v>
      </c>
      <c r="P33" s="49"/>
      <c r="Q33" s="48">
        <f>+Q32/O32-1</f>
        <v>0.30065359477124165</v>
      </c>
      <c r="R33" s="49"/>
      <c r="T33" s="49"/>
      <c r="AA33" s="48">
        <f>+AA32/Z32-1</f>
        <v>0.12152777777777768</v>
      </c>
    </row>
    <row r="34" spans="1:36" x14ac:dyDescent="0.2">
      <c r="A34" s="54" t="s">
        <v>126</v>
      </c>
      <c r="B34" s="1" t="s">
        <v>124</v>
      </c>
      <c r="M34" s="1">
        <v>28.8</v>
      </c>
      <c r="O34" s="1">
        <v>32.700000000000003</v>
      </c>
      <c r="Q34" s="1">
        <v>39.9</v>
      </c>
    </row>
    <row r="35" spans="1:36" s="48" customFormat="1" x14ac:dyDescent="0.2">
      <c r="B35" s="48" t="s">
        <v>125</v>
      </c>
      <c r="D35" s="49"/>
      <c r="F35" s="49"/>
      <c r="H35" s="49"/>
      <c r="J35" s="49"/>
      <c r="L35" s="49"/>
      <c r="N35" s="49"/>
      <c r="O35" s="48">
        <f>+O34/M34-1</f>
        <v>0.13541666666666674</v>
      </c>
      <c r="P35" s="49"/>
      <c r="Q35" s="48">
        <f>+Q34/O34-1</f>
        <v>0.2201834862385319</v>
      </c>
      <c r="R35" s="49"/>
      <c r="T35" s="49"/>
    </row>
    <row r="37" spans="1:36" x14ac:dyDescent="0.2">
      <c r="B37" s="41" t="s">
        <v>88</v>
      </c>
    </row>
    <row r="38" spans="1:36" x14ac:dyDescent="0.2">
      <c r="B38" s="1" t="s">
        <v>89</v>
      </c>
      <c r="Q38" s="30">
        <v>0.77100000000000002</v>
      </c>
    </row>
    <row r="39" spans="1:36" x14ac:dyDescent="0.2">
      <c r="B39" s="1" t="s">
        <v>90</v>
      </c>
      <c r="Q39" s="30">
        <v>3.2320000000000002</v>
      </c>
    </row>
    <row r="40" spans="1:36" x14ac:dyDescent="0.2">
      <c r="B40" s="1" t="s">
        <v>91</v>
      </c>
      <c r="Q40" s="30">
        <v>56.645000000000003</v>
      </c>
    </row>
    <row r="41" spans="1:36" s="2" customFormat="1" x14ac:dyDescent="0.2">
      <c r="B41" s="2" t="s">
        <v>92</v>
      </c>
      <c r="D41" s="42"/>
      <c r="F41" s="42"/>
      <c r="H41" s="42"/>
      <c r="J41" s="42"/>
      <c r="L41" s="42"/>
      <c r="N41" s="42"/>
      <c r="P41" s="42"/>
      <c r="Q41" s="29">
        <v>1.954</v>
      </c>
      <c r="R41" s="42"/>
      <c r="T41" s="42"/>
      <c r="AD41" s="91"/>
      <c r="AE41" s="91"/>
      <c r="AF41" s="91"/>
      <c r="AG41" s="91"/>
      <c r="AH41" s="91"/>
      <c r="AI41" s="91"/>
      <c r="AJ41" s="91"/>
    </row>
    <row r="42" spans="1:36" x14ac:dyDescent="0.2">
      <c r="B42" s="1" t="s">
        <v>93</v>
      </c>
      <c r="Q42" s="30">
        <v>17.66</v>
      </c>
    </row>
    <row r="43" spans="1:36" x14ac:dyDescent="0.2">
      <c r="B43" s="1" t="s">
        <v>94</v>
      </c>
      <c r="O43" s="1">
        <f>+SUM(O38:O42)</f>
        <v>0</v>
      </c>
      <c r="Q43" s="30">
        <f>+SUM(Q38:Q42)</f>
        <v>80.262</v>
      </c>
    </row>
    <row r="44" spans="1:36" x14ac:dyDescent="0.2">
      <c r="B44" s="1" t="s">
        <v>95</v>
      </c>
      <c r="Q44" s="30">
        <v>139.01599999999999</v>
      </c>
    </row>
    <row r="45" spans="1:36" s="2" customFormat="1" x14ac:dyDescent="0.2">
      <c r="B45" s="2" t="s">
        <v>92</v>
      </c>
      <c r="D45" s="42"/>
      <c r="F45" s="42"/>
      <c r="H45" s="42"/>
      <c r="J45" s="42"/>
      <c r="L45" s="42"/>
      <c r="N45" s="42"/>
      <c r="P45" s="42"/>
      <c r="Q45" s="29">
        <v>0.22600000000000001</v>
      </c>
      <c r="R45" s="42"/>
      <c r="T45" s="42"/>
      <c r="AD45" s="91"/>
      <c r="AE45" s="91"/>
      <c r="AF45" s="91"/>
      <c r="AG45" s="91"/>
      <c r="AH45" s="91"/>
      <c r="AI45" s="91"/>
      <c r="AJ45" s="91"/>
    </row>
    <row r="46" spans="1:36" s="2" customFormat="1" x14ac:dyDescent="0.2">
      <c r="B46" s="2" t="s">
        <v>6</v>
      </c>
      <c r="D46" s="42"/>
      <c r="F46" s="42"/>
      <c r="H46" s="42"/>
      <c r="J46" s="42"/>
      <c r="L46" s="42"/>
      <c r="N46" s="42"/>
      <c r="P46" s="42"/>
      <c r="Q46" s="29">
        <v>148.5</v>
      </c>
      <c r="R46" s="42"/>
      <c r="T46" s="42"/>
      <c r="AD46" s="91"/>
      <c r="AE46" s="91"/>
      <c r="AF46" s="91"/>
      <c r="AG46" s="91"/>
      <c r="AH46" s="91"/>
      <c r="AI46" s="91"/>
      <c r="AJ46" s="91"/>
    </row>
    <row r="47" spans="1:36" x14ac:dyDescent="0.2">
      <c r="B47" s="1" t="s">
        <v>96</v>
      </c>
      <c r="O47" s="1">
        <f>+SUM(O43:O46)</f>
        <v>0</v>
      </c>
      <c r="Q47" s="30">
        <f>+SUM(Q43:Q46)</f>
        <v>368.00400000000002</v>
      </c>
    </row>
    <row r="48" spans="1:36" x14ac:dyDescent="0.2">
      <c r="Q48" s="30"/>
    </row>
    <row r="49" spans="2:36" x14ac:dyDescent="0.2">
      <c r="B49" s="1" t="s">
        <v>97</v>
      </c>
      <c r="Q49" s="30">
        <v>214.50899999999999</v>
      </c>
    </row>
    <row r="50" spans="2:36" x14ac:dyDescent="0.2">
      <c r="B50" s="1" t="s">
        <v>78</v>
      </c>
      <c r="Q50" s="30">
        <v>0.77800000000000002</v>
      </c>
    </row>
    <row r="51" spans="2:36" x14ac:dyDescent="0.2">
      <c r="B51" s="1" t="s">
        <v>98</v>
      </c>
      <c r="Q51" s="30">
        <v>1.3620000000000001</v>
      </c>
    </row>
    <row r="52" spans="2:36" x14ac:dyDescent="0.2">
      <c r="B52" s="1" t="s">
        <v>99</v>
      </c>
      <c r="O52" s="1">
        <f>+SUM(O49:O51)</f>
        <v>0</v>
      </c>
      <c r="Q52" s="30">
        <f>+SUM(Q49:Q51)</f>
        <v>216.64899999999997</v>
      </c>
    </row>
    <row r="53" spans="2:36" x14ac:dyDescent="0.2">
      <c r="B53" s="1" t="s">
        <v>100</v>
      </c>
      <c r="Q53" s="30">
        <v>1.5369999999999999</v>
      </c>
    </row>
    <row r="54" spans="2:36" x14ac:dyDescent="0.2">
      <c r="B54" s="1" t="s">
        <v>93</v>
      </c>
      <c r="Q54" s="30">
        <v>0.126</v>
      </c>
    </row>
    <row r="55" spans="2:36" s="2" customFormat="1" x14ac:dyDescent="0.2">
      <c r="B55" s="2" t="s">
        <v>101</v>
      </c>
      <c r="D55" s="42"/>
      <c r="F55" s="42"/>
      <c r="H55" s="42"/>
      <c r="J55" s="42"/>
      <c r="L55" s="42"/>
      <c r="N55" s="42"/>
      <c r="P55" s="42"/>
      <c r="Q55" s="29">
        <v>9.0890000000000004</v>
      </c>
      <c r="R55" s="42"/>
      <c r="T55" s="42"/>
      <c r="AD55" s="91"/>
      <c r="AE55" s="91"/>
      <c r="AF55" s="91"/>
      <c r="AG55" s="91"/>
      <c r="AH55" s="91"/>
      <c r="AI55" s="91"/>
      <c r="AJ55" s="91"/>
    </row>
    <row r="56" spans="2:36" x14ac:dyDescent="0.2">
      <c r="B56" s="1" t="s">
        <v>102</v>
      </c>
      <c r="Q56" s="30">
        <v>2.173</v>
      </c>
    </row>
    <row r="57" spans="2:36" x14ac:dyDescent="0.2">
      <c r="B57" s="1" t="s">
        <v>103</v>
      </c>
      <c r="O57" s="1">
        <f>+SUM(O52:O56)</f>
        <v>0</v>
      </c>
      <c r="Q57" s="30">
        <f>+SUM(Q52:Q56)</f>
        <v>229.57399999999998</v>
      </c>
    </row>
    <row r="58" spans="2:36" x14ac:dyDescent="0.2">
      <c r="Q58" s="30"/>
    </row>
    <row r="59" spans="2:36" x14ac:dyDescent="0.2">
      <c r="B59" s="1" t="s">
        <v>104</v>
      </c>
      <c r="Q59" s="30">
        <v>138.43</v>
      </c>
    </row>
    <row r="60" spans="2:36" x14ac:dyDescent="0.2">
      <c r="B60" s="1" t="s">
        <v>105</v>
      </c>
      <c r="Q60" s="30">
        <f>+Q59+Q57</f>
        <v>368.00400000000002</v>
      </c>
    </row>
    <row r="61" spans="2:36" x14ac:dyDescent="0.2">
      <c r="Q61" s="30"/>
    </row>
    <row r="62" spans="2:36" x14ac:dyDescent="0.2">
      <c r="B62" s="1" t="s">
        <v>106</v>
      </c>
      <c r="Q62" s="30">
        <f>+Q47-Q57</f>
        <v>138.43000000000004</v>
      </c>
    </row>
    <row r="63" spans="2:36" x14ac:dyDescent="0.2">
      <c r="B63" s="1" t="s">
        <v>107</v>
      </c>
      <c r="Q63" s="1">
        <f>+Q62/Q17</f>
        <v>0.45682154773945399</v>
      </c>
    </row>
    <row r="65" spans="2:36" x14ac:dyDescent="0.2">
      <c r="B65" s="1" t="s">
        <v>6</v>
      </c>
      <c r="Q65" s="30">
        <f>+Q45+Q46</f>
        <v>148.726</v>
      </c>
    </row>
    <row r="66" spans="2:36" x14ac:dyDescent="0.2">
      <c r="B66" s="1" t="s">
        <v>7</v>
      </c>
      <c r="Q66" s="30">
        <f>+Q55</f>
        <v>9.0890000000000004</v>
      </c>
    </row>
    <row r="67" spans="2:36" x14ac:dyDescent="0.2">
      <c r="B67" s="1" t="s">
        <v>8</v>
      </c>
      <c r="Q67" s="30">
        <f>+Q65-Q66</f>
        <v>139.637</v>
      </c>
    </row>
    <row r="68" spans="2:36" s="43" customFormat="1" x14ac:dyDescent="0.2">
      <c r="B68" s="43" t="s">
        <v>108</v>
      </c>
      <c r="D68" s="44"/>
      <c r="F68" s="44"/>
      <c r="H68" s="44"/>
      <c r="J68" s="44"/>
      <c r="L68" s="44"/>
      <c r="N68" s="44"/>
      <c r="P68" s="44"/>
      <c r="R68" s="44"/>
      <c r="T68" s="44"/>
    </row>
    <row r="70" spans="2:36" s="67" customFormat="1" x14ac:dyDescent="0.2">
      <c r="B70" s="67" t="s">
        <v>139</v>
      </c>
      <c r="G70" s="67">
        <v>1.1399999999999999</v>
      </c>
      <c r="H70" s="67">
        <v>0.86499999999999999</v>
      </c>
      <c r="I70" s="67">
        <v>0.98</v>
      </c>
      <c r="J70" s="67">
        <v>1.4450000000000001</v>
      </c>
      <c r="K70" s="67">
        <v>1.71</v>
      </c>
      <c r="L70" s="67">
        <v>1.645</v>
      </c>
      <c r="M70" s="67">
        <v>1.0049999999999999</v>
      </c>
      <c r="N70" s="67">
        <v>1.395</v>
      </c>
      <c r="O70" s="67">
        <v>1.365</v>
      </c>
      <c r="P70" s="67">
        <v>1.335</v>
      </c>
      <c r="Q70" s="67">
        <v>1.8149999999999999</v>
      </c>
      <c r="X70" s="67">
        <f>+F70</f>
        <v>0</v>
      </c>
      <c r="Y70" s="67">
        <f>+H70</f>
        <v>0.86499999999999999</v>
      </c>
      <c r="Z70" s="67">
        <f>+J70</f>
        <v>1.4450000000000001</v>
      </c>
      <c r="AA70" s="67">
        <f>+L70</f>
        <v>1.645</v>
      </c>
      <c r="AB70" s="67">
        <f>+N70</f>
        <v>1.395</v>
      </c>
      <c r="AC70" s="67">
        <f>+P70</f>
        <v>1.335</v>
      </c>
      <c r="AD70" s="92"/>
      <c r="AE70" s="92"/>
      <c r="AF70" s="92"/>
      <c r="AG70" s="92"/>
      <c r="AH70" s="92"/>
      <c r="AI70" s="92"/>
      <c r="AJ70" s="92"/>
    </row>
    <row r="71" spans="2:36" s="62" customFormat="1" x14ac:dyDescent="0.2">
      <c r="B71" s="62" t="s">
        <v>110</v>
      </c>
      <c r="H71" s="62">
        <f t="shared" ref="H71:Q71" si="20">+H70*H17</f>
        <v>0</v>
      </c>
      <c r="I71" s="62">
        <f t="shared" si="20"/>
        <v>0</v>
      </c>
      <c r="J71" s="62">
        <f t="shared" si="20"/>
        <v>0</v>
      </c>
      <c r="K71" s="62">
        <f t="shared" si="20"/>
        <v>497.88360000000006</v>
      </c>
      <c r="L71" s="62">
        <f t="shared" si="20"/>
        <v>483.58944417000004</v>
      </c>
      <c r="M71" s="62">
        <f t="shared" si="20"/>
        <v>298.78649999999999</v>
      </c>
      <c r="N71" s="62">
        <f t="shared" si="20"/>
        <v>417.48165</v>
      </c>
      <c r="O71" s="62">
        <f t="shared" si="20"/>
        <v>409.5</v>
      </c>
      <c r="P71" s="62">
        <f t="shared" si="20"/>
        <v>401.92433018999998</v>
      </c>
      <c r="Q71" s="62">
        <f t="shared" si="20"/>
        <v>549.99693259499998</v>
      </c>
      <c r="Z71" s="62">
        <f>+Z70*Z17</f>
        <v>395.69413553999999</v>
      </c>
      <c r="AA71" s="62">
        <f>+AA70*AA17</f>
        <v>483.58944417000004</v>
      </c>
      <c r="AB71" s="62">
        <f>+AB70*AB17</f>
        <v>417.48165</v>
      </c>
      <c r="AC71" s="62">
        <f>+AC70*AC17</f>
        <v>401.92433018999998</v>
      </c>
      <c r="AD71" s="93"/>
      <c r="AE71" s="93"/>
      <c r="AF71" s="93"/>
      <c r="AG71" s="93"/>
      <c r="AH71" s="93"/>
      <c r="AI71" s="93"/>
      <c r="AJ71" s="93"/>
    </row>
    <row r="72" spans="2:36" s="61" customFormat="1" x14ac:dyDescent="0.2">
      <c r="B72" s="61" t="s">
        <v>111</v>
      </c>
      <c r="AD72" s="94"/>
      <c r="AE72" s="94"/>
      <c r="AF72" s="94"/>
      <c r="AG72" s="94"/>
      <c r="AH72" s="94"/>
      <c r="AI72" s="94"/>
      <c r="AJ72" s="94"/>
    </row>
    <row r="73" spans="2:36" s="43" customFormat="1" x14ac:dyDescent="0.2">
      <c r="B73" s="43" t="s">
        <v>109</v>
      </c>
      <c r="D73" s="44"/>
      <c r="F73" s="44"/>
      <c r="H73" s="44"/>
      <c r="J73" s="44"/>
      <c r="L73" s="44"/>
      <c r="N73" s="44"/>
      <c r="P73" s="44"/>
      <c r="Q73" s="43">
        <v>1.2622</v>
      </c>
      <c r="R73" s="44"/>
      <c r="T73" s="44"/>
      <c r="Z73" s="43">
        <v>1.36</v>
      </c>
      <c r="AA73" s="43">
        <v>1.35</v>
      </c>
      <c r="AB73" s="43">
        <v>1.21</v>
      </c>
      <c r="AC73" s="43">
        <v>1.27</v>
      </c>
    </row>
    <row r="74" spans="2:36" s="65" customFormat="1" x14ac:dyDescent="0.2">
      <c r="B74" s="65" t="s">
        <v>140</v>
      </c>
      <c r="D74" s="66"/>
      <c r="F74" s="66"/>
      <c r="H74" s="66"/>
      <c r="J74" s="66"/>
      <c r="L74" s="66"/>
      <c r="N74" s="66"/>
      <c r="P74" s="66"/>
      <c r="Q74" s="65">
        <f>Q70*Q73</f>
        <v>2.2908930000000001</v>
      </c>
      <c r="R74" s="66"/>
      <c r="T74" s="66"/>
      <c r="Z74" s="65">
        <f>+Z70*Z73</f>
        <v>1.9652000000000003</v>
      </c>
      <c r="AA74" s="65">
        <f>+AA70*AA73</f>
        <v>2.2207500000000002</v>
      </c>
      <c r="AB74" s="65">
        <f>+AB70*AB73</f>
        <v>1.6879500000000001</v>
      </c>
      <c r="AC74" s="65">
        <f>+AC70*AC73</f>
        <v>1.6954499999999999</v>
      </c>
    </row>
    <row r="75" spans="2:36" s="63" customFormat="1" x14ac:dyDescent="0.2">
      <c r="B75" s="63" t="s">
        <v>141</v>
      </c>
      <c r="D75" s="64"/>
      <c r="F75" s="64"/>
      <c r="H75" s="64"/>
      <c r="J75" s="64"/>
      <c r="L75" s="64"/>
      <c r="N75" s="64"/>
      <c r="P75" s="64"/>
      <c r="Q75" s="63">
        <f>Q74*Q17</f>
        <v>694.20612832140898</v>
      </c>
      <c r="R75" s="64"/>
      <c r="T75" s="64"/>
      <c r="Z75" s="63">
        <f>+Z74*Z17</f>
        <v>538.14402433440011</v>
      </c>
      <c r="AA75" s="63">
        <f>+AA74*AA17</f>
        <v>652.84574962950012</v>
      </c>
      <c r="AB75" s="63">
        <f>+AB74*AB17</f>
        <v>505.15279649999997</v>
      </c>
      <c r="AC75" s="63">
        <f>+AC74*AC17</f>
        <v>510.44389934129998</v>
      </c>
    </row>
    <row r="76" spans="2:36" s="63" customFormat="1" x14ac:dyDescent="0.2">
      <c r="B76" s="63" t="s">
        <v>142</v>
      </c>
      <c r="D76" s="64"/>
      <c r="F76" s="64"/>
      <c r="H76" s="64"/>
      <c r="J76" s="64"/>
      <c r="L76" s="64"/>
      <c r="N76" s="64"/>
      <c r="P76" s="64"/>
      <c r="Q76" s="63">
        <f>Q75-Q67</f>
        <v>554.56912832140893</v>
      </c>
      <c r="R76" s="64"/>
      <c r="T76" s="64"/>
    </row>
    <row r="79" spans="2:36" s="68" customFormat="1" x14ac:dyDescent="0.2">
      <c r="B79" s="68" t="s">
        <v>23</v>
      </c>
      <c r="D79" s="69"/>
      <c r="F79" s="69"/>
      <c r="H79" s="69"/>
      <c r="J79" s="69"/>
      <c r="L79" s="69"/>
      <c r="N79" s="69"/>
      <c r="P79" s="69"/>
      <c r="Q79" s="68">
        <f>Q73/Q63</f>
        <v>2.7630045172910491</v>
      </c>
      <c r="R79" s="69"/>
      <c r="T79" s="69"/>
      <c r="AD79" s="95"/>
      <c r="AE79" s="95"/>
      <c r="AF79" s="95"/>
      <c r="AG79" s="95"/>
      <c r="AH79" s="95"/>
      <c r="AI79" s="95"/>
      <c r="AJ79" s="95"/>
    </row>
    <row r="80" spans="2:36" s="68" customFormat="1" x14ac:dyDescent="0.2">
      <c r="B80" s="68" t="s">
        <v>24</v>
      </c>
      <c r="D80" s="69"/>
      <c r="F80" s="69"/>
      <c r="H80" s="69"/>
      <c r="J80" s="69"/>
      <c r="L80" s="69"/>
      <c r="N80" s="69"/>
      <c r="P80" s="69"/>
      <c r="Q80" s="68">
        <f>Q75/SUM(P4:Q4)</f>
        <v>7.5596877743810191</v>
      </c>
      <c r="R80" s="69"/>
      <c r="T80" s="69"/>
      <c r="Z80" s="68">
        <f>+Z75/Z4</f>
        <v>9.5412223739300046</v>
      </c>
      <c r="AA80" s="68">
        <f>+AA75/AA4</f>
        <v>9.4389611744307107</v>
      </c>
      <c r="AB80" s="68">
        <f>+AB75/AB4</f>
        <v>7.9222256524057455</v>
      </c>
      <c r="AC80" s="68">
        <f>+AC75/AC4</f>
        <v>6.1707434639905703</v>
      </c>
      <c r="AD80" s="95"/>
      <c r="AE80" s="95"/>
      <c r="AF80" s="95"/>
      <c r="AG80" s="95"/>
      <c r="AH80" s="95"/>
      <c r="AI80" s="95"/>
      <c r="AJ80" s="95"/>
    </row>
    <row r="81" spans="2:36" s="68" customFormat="1" x14ac:dyDescent="0.2">
      <c r="B81" s="68" t="s">
        <v>26</v>
      </c>
      <c r="D81" s="69"/>
      <c r="F81" s="69"/>
      <c r="H81" s="69"/>
      <c r="J81" s="69"/>
      <c r="L81" s="69"/>
      <c r="N81" s="69"/>
      <c r="P81" s="69"/>
      <c r="Q81" s="68">
        <f>Q74/SUM(P16:Q16)</f>
        <v>95.476147972967553</v>
      </c>
      <c r="R81" s="69"/>
      <c r="T81" s="69"/>
      <c r="Z81" s="68">
        <f>+Z74/Z16</f>
        <v>-28.647539224615393</v>
      </c>
      <c r="AA81" s="68">
        <f>+AA74/AA16</f>
        <v>104.13873817666284</v>
      </c>
      <c r="AB81" s="68">
        <f>+AB74/AB16</f>
        <v>117.50472121423574</v>
      </c>
      <c r="AC81" s="68">
        <f>+AC74/AC16</f>
        <v>50.609151233521715</v>
      </c>
      <c r="AD81" s="95"/>
      <c r="AE81" s="95"/>
      <c r="AF81" s="95"/>
      <c r="AG81" s="95"/>
      <c r="AH81" s="95"/>
      <c r="AI81" s="95"/>
      <c r="AJ81" s="95"/>
    </row>
    <row r="83" spans="2:36" x14ac:dyDescent="0.2">
      <c r="B83" s="41" t="s">
        <v>112</v>
      </c>
    </row>
    <row r="84" spans="2:36" s="30" customFormat="1" x14ac:dyDescent="0.2">
      <c r="B84" s="30" t="s">
        <v>113</v>
      </c>
      <c r="D84" s="35"/>
      <c r="F84" s="35"/>
      <c r="H84" s="35"/>
      <c r="J84" s="35"/>
      <c r="K84" s="30">
        <v>-9.0739999999999998</v>
      </c>
      <c r="L84" s="35"/>
      <c r="M84" s="30">
        <v>-7.9459999999999997</v>
      </c>
      <c r="N84" s="35">
        <f>AB84-M84</f>
        <v>57.597999999999999</v>
      </c>
      <c r="O84" s="30">
        <v>2.117</v>
      </c>
      <c r="P84" s="35">
        <f>+AC84-O84</f>
        <v>38.480000000000004</v>
      </c>
      <c r="Q84" s="30">
        <v>1.7509999999999999</v>
      </c>
      <c r="R84" s="35"/>
      <c r="T84" s="35"/>
      <c r="Z84" s="30">
        <v>31.26</v>
      </c>
      <c r="AA84" s="30">
        <v>11.919</v>
      </c>
      <c r="AB84" s="30">
        <v>49.652000000000001</v>
      </c>
      <c r="AC84" s="30">
        <v>40.597000000000001</v>
      </c>
      <c r="AD84" s="87"/>
      <c r="AE84" s="87"/>
      <c r="AF84" s="87"/>
      <c r="AG84" s="87"/>
      <c r="AH84" s="87"/>
      <c r="AI84" s="87"/>
      <c r="AJ84" s="87"/>
    </row>
    <row r="85" spans="2:36" s="30" customFormat="1" x14ac:dyDescent="0.2">
      <c r="B85" s="30" t="s">
        <v>129</v>
      </c>
      <c r="D85" s="35"/>
      <c r="F85" s="35"/>
      <c r="H85" s="35"/>
      <c r="J85" s="35"/>
      <c r="K85" s="30">
        <f>0.205+2.348</f>
        <v>2.5529999999999999</v>
      </c>
      <c r="L85" s="35"/>
      <c r="M85" s="30">
        <f>0.104+2.677</f>
        <v>2.7810000000000001</v>
      </c>
      <c r="N85" s="35">
        <f>AB85-M85</f>
        <v>2.5549999999999993</v>
      </c>
      <c r="O85" s="30">
        <f>0.133+2.617</f>
        <v>2.75</v>
      </c>
      <c r="P85" s="35">
        <f>+AC85-O85</f>
        <v>3.1139999999999999</v>
      </c>
      <c r="Q85" s="30">
        <f>0.267+3.461</f>
        <v>3.7279999999999998</v>
      </c>
      <c r="R85" s="35"/>
      <c r="T85" s="35"/>
      <c r="Z85" s="30">
        <f>0.489+2.92</f>
        <v>3.4089999999999998</v>
      </c>
      <c r="AA85" s="30">
        <f>0.812+5.022</f>
        <v>5.8340000000000005</v>
      </c>
      <c r="AB85" s="30">
        <f>0.47+4.866</f>
        <v>5.3359999999999994</v>
      </c>
      <c r="AC85" s="30">
        <f>0.434+5.43</f>
        <v>5.8639999999999999</v>
      </c>
      <c r="AD85" s="87"/>
      <c r="AE85" s="87"/>
      <c r="AF85" s="87"/>
      <c r="AG85" s="87"/>
      <c r="AH85" s="87"/>
      <c r="AI85" s="87"/>
      <c r="AJ85" s="87"/>
    </row>
    <row r="86" spans="2:36" s="29" customFormat="1" x14ac:dyDescent="0.2">
      <c r="B86" s="29" t="s">
        <v>130</v>
      </c>
      <c r="D86" s="34"/>
      <c r="F86" s="34"/>
      <c r="H86" s="34"/>
      <c r="J86" s="34"/>
      <c r="K86" s="29">
        <f>+K84-K85</f>
        <v>-11.626999999999999</v>
      </c>
      <c r="L86" s="34"/>
      <c r="M86" s="29">
        <f>+M84-M85</f>
        <v>-10.727</v>
      </c>
      <c r="N86" s="34">
        <f>+N84-N85</f>
        <v>55.042999999999999</v>
      </c>
      <c r="O86" s="29">
        <f>+O84-O85</f>
        <v>-0.63300000000000001</v>
      </c>
      <c r="P86" s="34">
        <f>+P84-P85</f>
        <v>35.366000000000007</v>
      </c>
      <c r="Q86" s="29">
        <f>+Q84-Q85</f>
        <v>-1.9769999999999999</v>
      </c>
      <c r="R86" s="34"/>
      <c r="T86" s="34"/>
      <c r="Z86" s="29">
        <f>+Z84-Z85</f>
        <v>27.851000000000003</v>
      </c>
      <c r="AA86" s="29">
        <f>+AA84-AA85</f>
        <v>6.085</v>
      </c>
      <c r="AB86" s="29">
        <f>+AB84-AB85</f>
        <v>44.316000000000003</v>
      </c>
      <c r="AC86" s="29">
        <f>+AC84-AC85</f>
        <v>34.733000000000004</v>
      </c>
      <c r="AD86" s="86"/>
      <c r="AE86" s="86"/>
      <c r="AF86" s="86"/>
      <c r="AG86" s="86"/>
      <c r="AH86" s="86"/>
      <c r="AI86" s="86"/>
      <c r="AJ86" s="86"/>
    </row>
    <row r="88" spans="2:36" s="26" customFormat="1" x14ac:dyDescent="0.2">
      <c r="B88" s="26" t="s">
        <v>131</v>
      </c>
      <c r="D88" s="36"/>
      <c r="F88" s="36"/>
      <c r="H88" s="36"/>
      <c r="J88" s="36"/>
      <c r="L88" s="36"/>
      <c r="N88" s="36">
        <f>SUM(M84:N84)/N17</f>
        <v>0.16591038192936147</v>
      </c>
      <c r="O88" s="26">
        <f>+SUM(N84:O84)/O17</f>
        <v>0.19904999999999998</v>
      </c>
      <c r="P88" s="36">
        <f>SUM(O84:P84)/P17</f>
        <v>0.13484377761948296</v>
      </c>
      <c r="Q88" s="26">
        <f>+SUM(P84:Q84)/Q17</f>
        <v>0.1327630404327528</v>
      </c>
      <c r="R88" s="36"/>
      <c r="T88" s="36"/>
      <c r="Z88" s="26">
        <f>+Z86/Z17</f>
        <v>0.10170657430916548</v>
      </c>
      <c r="AA88" s="26">
        <f>+AA86/AA17</f>
        <v>2.0699014671794962E-2</v>
      </c>
      <c r="AB88" s="26">
        <f>+AB86/AB17</f>
        <v>0.14808032880008021</v>
      </c>
      <c r="AC88" s="26">
        <f>+AC86/AC17</f>
        <v>0.11536637998023258</v>
      </c>
      <c r="AD88" s="65"/>
      <c r="AE88" s="65"/>
      <c r="AF88" s="65"/>
      <c r="AG88" s="65"/>
      <c r="AH88" s="65"/>
      <c r="AI88" s="65"/>
      <c r="AJ88" s="65"/>
    </row>
    <row r="89" spans="2:36" s="68" customFormat="1" x14ac:dyDescent="0.2">
      <c r="B89" s="68" t="s">
        <v>132</v>
      </c>
      <c r="D89" s="69"/>
      <c r="F89" s="69"/>
      <c r="H89" s="69"/>
      <c r="J89" s="69"/>
      <c r="L89" s="69"/>
      <c r="N89" s="69"/>
      <c r="P89" s="69"/>
      <c r="Q89" s="68">
        <f>Q74/Q88</f>
        <v>17.255502680057891</v>
      </c>
      <c r="R89" s="69"/>
      <c r="T89" s="69"/>
      <c r="Z89" s="68">
        <f>+Z74/Z88</f>
        <v>19.322251421291874</v>
      </c>
      <c r="AA89" s="68">
        <f>+AA74/AA88</f>
        <v>107.2877156334429</v>
      </c>
      <c r="AB89" s="68">
        <f>+AB74/AB88</f>
        <v>11.398880686433793</v>
      </c>
      <c r="AC89" s="68">
        <f>+AC74/AC88</f>
        <v>14.696222593536405</v>
      </c>
      <c r="AD89" s="95"/>
      <c r="AE89" s="95"/>
      <c r="AF89" s="95"/>
      <c r="AG89" s="95"/>
      <c r="AH89" s="95"/>
      <c r="AI89" s="95"/>
      <c r="AJ89" s="95"/>
    </row>
  </sheetData>
  <hyperlinks>
    <hyperlink ref="Q1" r:id="rId1" xr:uid="{69EB0623-78A5-4C75-B41F-946549CAC1AC}"/>
    <hyperlink ref="AC1" r:id="rId2" xr:uid="{2E71B946-33F1-4A90-828D-B0941C26C998}"/>
    <hyperlink ref="P1" r:id="rId3" xr:uid="{567DDD0B-3124-481E-BB97-E1739C88C9A9}"/>
    <hyperlink ref="M1" r:id="rId4" xr:uid="{6FC37339-B847-46EE-9BBA-A0498C67A59D}"/>
    <hyperlink ref="AA1" r:id="rId5" xr:uid="{39139F35-DC36-41B6-9376-0EEC717C6DD5}"/>
    <hyperlink ref="L1" r:id="rId6" xr:uid="{774FAAE8-22C4-4890-B234-E136C4411584}"/>
  </hyperlinks>
  <pageMargins left="0.7" right="0.7" top="0.75" bottom="0.75" header="0.3" footer="0.3"/>
  <pageSetup orientation="portrait" r:id="rId7"/>
  <ignoredErrors>
    <ignoredError sqref="P6:P13 N9:N13 O19:P19 O88:P88 L6:L17 N19 N29:N32" formula="1"/>
  </ignoredErrors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Financial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2025-02-17T14:53:26Z</dcterms:created>
  <dcterms:modified xsi:type="dcterms:W3CDTF">2025-02-18T17:42:49Z</dcterms:modified>
</cp:coreProperties>
</file>