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0779DB8-8AAC-4FDD-A120-146574C740A5}" xr6:coauthVersionLast="36" xr6:coauthVersionMax="47" xr10:uidLastSave="{00000000-0000-0000-0000-000000000000}"/>
  <bookViews>
    <workbookView xWindow="-120" yWindow="-120" windowWidth="29040" windowHeight="15720" xr2:uid="{455D1B8A-3F91-4588-9B7A-FCB01F8FFD95}"/>
  </bookViews>
  <sheets>
    <sheet name="Main" sheetId="1" r:id="rId1"/>
    <sheet name="Financial Model" sheetId="2" r:id="rId2"/>
    <sheet name="Data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2" l="1"/>
  <c r="F110" i="2"/>
  <c r="F99" i="2"/>
  <c r="F98" i="2" l="1"/>
  <c r="F96" i="2"/>
  <c r="E84" i="2"/>
  <c r="E81" i="2"/>
  <c r="E80" i="2"/>
  <c r="E91" i="2" s="1"/>
  <c r="E79" i="2"/>
  <c r="E78" i="2"/>
  <c r="E76" i="2"/>
  <c r="E75" i="2"/>
  <c r="E74" i="2"/>
  <c r="E73" i="2"/>
  <c r="E70" i="2"/>
  <c r="E69" i="2"/>
  <c r="E90" i="2" s="1"/>
  <c r="E68" i="2"/>
  <c r="E67" i="2"/>
  <c r="E65" i="2"/>
  <c r="E64" i="2"/>
  <c r="E63" i="2"/>
  <c r="E62" i="2"/>
  <c r="E66" i="2" l="1"/>
  <c r="E71" i="2" s="1"/>
  <c r="E87" i="2" s="1"/>
  <c r="E92" i="2"/>
  <c r="E77" i="2"/>
  <c r="E82" i="2" s="1"/>
  <c r="E85" i="2" s="1"/>
  <c r="E2" i="2"/>
  <c r="E56" i="2"/>
  <c r="E55" i="2"/>
  <c r="E54" i="2"/>
  <c r="E53" i="2"/>
  <c r="E52" i="2"/>
  <c r="E51" i="2"/>
  <c r="E27" i="2"/>
  <c r="E24" i="2"/>
  <c r="E22" i="2"/>
  <c r="E21" i="2"/>
  <c r="E19" i="2"/>
  <c r="E18" i="2"/>
  <c r="E17" i="2"/>
  <c r="E16" i="2"/>
  <c r="E14" i="2"/>
  <c r="E12" i="2"/>
  <c r="E11" i="2"/>
  <c r="E10" i="2"/>
  <c r="E9" i="2"/>
  <c r="E6" i="2"/>
  <c r="E5" i="2"/>
  <c r="E4" i="2"/>
  <c r="C7" i="1"/>
  <c r="D91" i="2"/>
  <c r="D90" i="2"/>
  <c r="D92" i="2" s="1"/>
  <c r="F91" i="2"/>
  <c r="C10" i="1" s="1"/>
  <c r="F90" i="2"/>
  <c r="D77" i="2"/>
  <c r="D82" i="2" s="1"/>
  <c r="D85" i="2" s="1"/>
  <c r="D66" i="2"/>
  <c r="D71" i="2" s="1"/>
  <c r="F77" i="2"/>
  <c r="F82" i="2" s="1"/>
  <c r="F85" i="2" s="1"/>
  <c r="F66" i="2"/>
  <c r="F71" i="2" s="1"/>
  <c r="D50" i="2"/>
  <c r="F50" i="2"/>
  <c r="C27" i="1" s="1"/>
  <c r="F33" i="2"/>
  <c r="F32" i="2"/>
  <c r="F31" i="2"/>
  <c r="D7" i="2"/>
  <c r="E7" i="2" s="1"/>
  <c r="F39" i="2"/>
  <c r="F38" i="2"/>
  <c r="F37" i="2"/>
  <c r="F36" i="2"/>
  <c r="D13" i="2"/>
  <c r="D15" i="2" s="1"/>
  <c r="F13" i="2"/>
  <c r="F15" i="2" s="1"/>
  <c r="D11" i="1"/>
  <c r="D10" i="1"/>
  <c r="D9" i="1"/>
  <c r="D7" i="1"/>
  <c r="J91" i="2"/>
  <c r="I91" i="2"/>
  <c r="J90" i="2"/>
  <c r="I90" i="2"/>
  <c r="K91" i="2"/>
  <c r="K90" i="2"/>
  <c r="J77" i="2"/>
  <c r="J82" i="2" s="1"/>
  <c r="J85" i="2" s="1"/>
  <c r="I77" i="2"/>
  <c r="I82" i="2" s="1"/>
  <c r="I85" i="2" s="1"/>
  <c r="K77" i="2"/>
  <c r="K82" i="2" s="1"/>
  <c r="K85" i="2" s="1"/>
  <c r="J66" i="2"/>
  <c r="J71" i="2" s="1"/>
  <c r="I66" i="2"/>
  <c r="I71" i="2" s="1"/>
  <c r="K66" i="2"/>
  <c r="K71" i="2" s="1"/>
  <c r="F87" i="2" l="1"/>
  <c r="F88" i="2" s="1"/>
  <c r="D87" i="2"/>
  <c r="D88" i="2" s="1"/>
  <c r="J92" i="2"/>
  <c r="F57" i="2"/>
  <c r="E88" i="2"/>
  <c r="C35" i="1"/>
  <c r="F102" i="2"/>
  <c r="K92" i="2"/>
  <c r="F30" i="2"/>
  <c r="E13" i="2"/>
  <c r="F103" i="2" s="1"/>
  <c r="D20" i="2"/>
  <c r="D42" i="2"/>
  <c r="F20" i="2"/>
  <c r="F42" i="2"/>
  <c r="F34" i="2"/>
  <c r="F92" i="2"/>
  <c r="F97" i="2" s="1"/>
  <c r="C9" i="1"/>
  <c r="I92" i="2"/>
  <c r="I87" i="2"/>
  <c r="I88" i="2" s="1"/>
  <c r="J87" i="2"/>
  <c r="J88" i="2" s="1"/>
  <c r="K87" i="2"/>
  <c r="K88" i="2" s="1"/>
  <c r="J39" i="2"/>
  <c r="J38" i="2"/>
  <c r="J37" i="2"/>
  <c r="J36" i="2"/>
  <c r="K39" i="2"/>
  <c r="K38" i="2"/>
  <c r="K37" i="2"/>
  <c r="K36" i="2"/>
  <c r="J34" i="2"/>
  <c r="J33" i="2"/>
  <c r="J32" i="2"/>
  <c r="J31" i="2"/>
  <c r="K34" i="2"/>
  <c r="K33" i="2"/>
  <c r="K32" i="2"/>
  <c r="K31" i="2"/>
  <c r="E15" i="2" l="1"/>
  <c r="E42" i="2" s="1"/>
  <c r="D23" i="2"/>
  <c r="D43" i="2"/>
  <c r="F23" i="2"/>
  <c r="F43" i="2"/>
  <c r="K50" i="2"/>
  <c r="E50" i="2" s="1"/>
  <c r="J50" i="2"/>
  <c r="I50" i="2"/>
  <c r="E20" i="2" l="1"/>
  <c r="D25" i="2"/>
  <c r="D45" i="2"/>
  <c r="F25" i="2"/>
  <c r="F45" i="2"/>
  <c r="E43" i="2"/>
  <c r="E23" i="2"/>
  <c r="J57" i="2"/>
  <c r="K57" i="2"/>
  <c r="J30" i="2"/>
  <c r="K30" i="2"/>
  <c r="J15" i="2"/>
  <c r="I15" i="2"/>
  <c r="K15" i="2"/>
  <c r="K42" i="2" s="1"/>
  <c r="D26" i="2" l="1"/>
  <c r="D44" i="2"/>
  <c r="E25" i="2"/>
  <c r="E45" i="2"/>
  <c r="F44" i="2"/>
  <c r="F26" i="2"/>
  <c r="I20" i="2"/>
  <c r="I42" i="2"/>
  <c r="K20" i="2"/>
  <c r="J20" i="2"/>
  <c r="J42" i="2"/>
  <c r="E44" i="2" l="1"/>
  <c r="E26" i="2"/>
  <c r="F104" i="2" s="1"/>
  <c r="K23" i="2"/>
  <c r="K43" i="2"/>
  <c r="J23" i="2"/>
  <c r="J43" i="2"/>
  <c r="I23" i="2"/>
  <c r="I43" i="2"/>
  <c r="C8" i="1"/>
  <c r="C36" i="1" s="1"/>
  <c r="C11" i="1"/>
  <c r="C12" i="1" l="1"/>
  <c r="C37" i="1" s="1"/>
  <c r="I25" i="2"/>
  <c r="I45" i="2"/>
  <c r="J25" i="2"/>
  <c r="J45" i="2"/>
  <c r="K25" i="2"/>
  <c r="K45" i="2"/>
  <c r="C39" i="1" l="1"/>
  <c r="I26" i="2"/>
  <c r="I44" i="2"/>
  <c r="K26" i="2"/>
  <c r="C38" i="1" s="1"/>
  <c r="K44" i="2"/>
  <c r="J26" i="2"/>
  <c r="J4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K1" authorId="0" shapeId="0" xr:uid="{60EECFA9-205C-4B9F-9EF6-DB7004CFBF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Pre-IPO Accounts</t>
        </r>
      </text>
    </comment>
  </commentList>
</comments>
</file>

<file path=xl/sharedStrings.xml><?xml version="1.0" encoding="utf-8"?>
<sst xmlns="http://schemas.openxmlformats.org/spreadsheetml/2006/main" count="206" uniqueCount="169">
  <si>
    <t>£RPI</t>
  </si>
  <si>
    <t>Raspberry Pi Holdings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</si>
  <si>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</si>
  <si>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</si>
  <si>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</si>
  <si>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</si>
  <si>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</si>
  <si>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</si>
  <si>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</si>
  <si>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</si>
  <si>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</si>
  <si>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Flaw found in chip in new Pico 2</t>
  </si>
  <si>
    <t>PICO 2 released with faster chip, no W version until later in year</t>
  </si>
  <si>
    <t>Management</t>
  </si>
  <si>
    <t>CEO</t>
  </si>
  <si>
    <t>CFO</t>
  </si>
  <si>
    <t>CTO</t>
  </si>
  <si>
    <t>Chair</t>
  </si>
  <si>
    <t>Profile</t>
  </si>
  <si>
    <t>HQ</t>
  </si>
  <si>
    <t>Founded</t>
  </si>
  <si>
    <t>IPO</t>
  </si>
  <si>
    <t>Update</t>
  </si>
  <si>
    <t>IR</t>
  </si>
  <si>
    <t>Valuation Metrics</t>
  </si>
  <si>
    <t>ARM based Single-board computer, hobbiest electronics, educational computing, Compute module for industry</t>
  </si>
  <si>
    <t>Emply.</t>
  </si>
  <si>
    <t>Cambridge, UK</t>
  </si>
  <si>
    <t>FY23</t>
  </si>
  <si>
    <t>H124 results due September 24th 2024</t>
  </si>
  <si>
    <t>H123</t>
  </si>
  <si>
    <t>H223</t>
  </si>
  <si>
    <t>H124</t>
  </si>
  <si>
    <t>FY22</t>
  </si>
  <si>
    <t>FY24</t>
  </si>
  <si>
    <t>FY25</t>
  </si>
  <si>
    <t>IPO on the LSE with offer price of 280p per share</t>
  </si>
  <si>
    <t>Link</t>
  </si>
  <si>
    <t>Products</t>
  </si>
  <si>
    <t>Hardware</t>
  </si>
  <si>
    <t>Software</t>
  </si>
  <si>
    <t>Raspberry Pi Connect</t>
  </si>
  <si>
    <t>Raspberry Pi Desktop</t>
  </si>
  <si>
    <t>Raspberry Pi OS (A Debian Linux image)</t>
  </si>
  <si>
    <t>Raspberry Pi 5</t>
  </si>
  <si>
    <t>Raspberry PICO 2</t>
  </si>
  <si>
    <t>Raspberry Pi Compute</t>
  </si>
  <si>
    <t>Revenue</t>
  </si>
  <si>
    <t>COGS</t>
  </si>
  <si>
    <t>Gross Profit</t>
  </si>
  <si>
    <t>Administrative</t>
  </si>
  <si>
    <t>R&amp;D</t>
  </si>
  <si>
    <t>Forex Gains</t>
  </si>
  <si>
    <t>Other Income</t>
  </si>
  <si>
    <t>Operating Profit</t>
  </si>
  <si>
    <t>Finance Income</t>
  </si>
  <si>
    <t>Finance Costs</t>
  </si>
  <si>
    <t>Pretax Income</t>
  </si>
  <si>
    <t>Taxes</t>
  </si>
  <si>
    <t>Net Profit</t>
  </si>
  <si>
    <t>EPS</t>
  </si>
  <si>
    <t>FY21</t>
  </si>
  <si>
    <t>31/12/023</t>
  </si>
  <si>
    <t>(USD Millions)</t>
  </si>
  <si>
    <t>Revenue Y/Y</t>
  </si>
  <si>
    <t>Revenue H/H</t>
  </si>
  <si>
    <t>-</t>
  </si>
  <si>
    <t>Gross Margin</t>
  </si>
  <si>
    <t>Operating Margin</t>
  </si>
  <si>
    <t>Net Margin</t>
  </si>
  <si>
    <t>Tax Rate</t>
  </si>
  <si>
    <t>Non-Finance Metrics</t>
  </si>
  <si>
    <t>Engineering</t>
  </si>
  <si>
    <t>Sales</t>
  </si>
  <si>
    <t>Marketing</t>
  </si>
  <si>
    <t>Publishing</t>
  </si>
  <si>
    <t>G&amp;A</t>
  </si>
  <si>
    <t>Retail</t>
  </si>
  <si>
    <t>Employees (Avg)</t>
  </si>
  <si>
    <t>Employees Y/Y</t>
  </si>
  <si>
    <t>UK</t>
  </si>
  <si>
    <t>US</t>
  </si>
  <si>
    <t>Europe</t>
  </si>
  <si>
    <t>ROW</t>
  </si>
  <si>
    <t>Sales of Product</t>
  </si>
  <si>
    <t>Royalty</t>
  </si>
  <si>
    <t>Components</t>
  </si>
  <si>
    <t>Other</t>
  </si>
  <si>
    <t>Revenue Segments</t>
  </si>
  <si>
    <t>P/B</t>
  </si>
  <si>
    <t>P/S</t>
  </si>
  <si>
    <t>P/E</t>
  </si>
  <si>
    <t>EV/S</t>
  </si>
  <si>
    <t>EV/E</t>
  </si>
  <si>
    <t>USDGBP</t>
  </si>
  <si>
    <t>UK Y/Y</t>
  </si>
  <si>
    <t>US Y/Y</t>
  </si>
  <si>
    <t>Europe Y/Y</t>
  </si>
  <si>
    <t>ROW Y/Y</t>
  </si>
  <si>
    <t>Segments Y/Y</t>
  </si>
  <si>
    <t>Product Y/Y</t>
  </si>
  <si>
    <t>Royalty Y/Y</t>
  </si>
  <si>
    <t>Components Y/Y</t>
  </si>
  <si>
    <t>Other Y/Y</t>
  </si>
  <si>
    <t>Balance Sheet</t>
  </si>
  <si>
    <t>Intangibles</t>
  </si>
  <si>
    <t>PP&amp;E</t>
  </si>
  <si>
    <t>ROU</t>
  </si>
  <si>
    <t>Other Assets</t>
  </si>
  <si>
    <t>Total NCA</t>
  </si>
  <si>
    <t>Inventories</t>
  </si>
  <si>
    <t>Trade &amp; A/R</t>
  </si>
  <si>
    <t>Current Tax</t>
  </si>
  <si>
    <t>Assets</t>
  </si>
  <si>
    <t>Trade &amp; A/P</t>
  </si>
  <si>
    <t>Provisions</t>
  </si>
  <si>
    <t>Lease Liabilities</t>
  </si>
  <si>
    <t>Current Taxes</t>
  </si>
  <si>
    <t>TCL</t>
  </si>
  <si>
    <t>Deferred Taxes</t>
  </si>
  <si>
    <t>Other Long Term</t>
  </si>
  <si>
    <t>Liabilities</t>
  </si>
  <si>
    <t>S/E+L</t>
  </si>
  <si>
    <t>Book Value</t>
  </si>
  <si>
    <t>Book Value Per Share</t>
  </si>
  <si>
    <t>S/E</t>
  </si>
  <si>
    <t>Accessories + Components</t>
  </si>
  <si>
    <t>Raspberry Pi Camera</t>
  </si>
  <si>
    <t>Raspberry Pi 2040</t>
  </si>
  <si>
    <t>Competitors: ??</t>
  </si>
  <si>
    <t>Foundation 2009</t>
  </si>
  <si>
    <t>Raspberry Pi Foundation registers as Educational Computing Charity</t>
  </si>
  <si>
    <t>After release of Raspberry Pi SBC the Ltd company is founded</t>
  </si>
  <si>
    <t>Production</t>
  </si>
  <si>
    <t>Most Pi products made in Sony factory in Wales</t>
  </si>
  <si>
    <t>Others manufactured in China or Japan</t>
  </si>
  <si>
    <t>Raspberry Pi Zero 2 W</t>
  </si>
  <si>
    <t>Raspberry Pi 3A+</t>
  </si>
  <si>
    <t>Risk Factors</t>
  </si>
  <si>
    <t>Chip manufacturing (supply, prices, Taiwan)</t>
  </si>
  <si>
    <t>H224</t>
  </si>
  <si>
    <t>Share Price (GBP)</t>
  </si>
  <si>
    <t xml:space="preserve">MC </t>
  </si>
  <si>
    <t>Share Price (USD) cents</t>
  </si>
  <si>
    <t>Raspberry Pi Magazines</t>
  </si>
  <si>
    <t>Annual magazines</t>
  </si>
  <si>
    <t>Online resources</t>
  </si>
  <si>
    <t>Raspberrry Pi Shop - Cambridge</t>
  </si>
  <si>
    <t>Touring 'pop-up' stand/shop</t>
  </si>
  <si>
    <t xml:space="preserve">Competes with Arduino, ESP32 </t>
  </si>
  <si>
    <t>Dr Eben Upton</t>
  </si>
  <si>
    <t>46 yo</t>
  </si>
  <si>
    <t>Knock-on impact of 2020/21 Chip Shortage still being felt by RPI</t>
  </si>
  <si>
    <t>During the chipo shortage, RPI prioritised industry/business customers over retail</t>
  </si>
  <si>
    <t>Compute module 5 is released with options up to 16gb RAM</t>
  </si>
  <si>
    <t>Industry</t>
  </si>
  <si>
    <t>Compute module 5</t>
  </si>
  <si>
    <t>Raspberry Pi 500 &amp; new USB monitor release in time for Christmas</t>
  </si>
  <si>
    <t>Stockopedia</t>
  </si>
  <si>
    <t>Richard Boult</t>
  </si>
  <si>
    <t>Prev. Dovetail, Time Out</t>
  </si>
  <si>
    <t>Elizabeth Upton (Dr's wife) sells 30,000 shares @ 619.57 (£185,872)</t>
  </si>
  <si>
    <t>Cashflow Statement</t>
  </si>
  <si>
    <t>CFFO</t>
  </si>
  <si>
    <t>CapEx</t>
  </si>
  <si>
    <t>FCF</t>
  </si>
  <si>
    <t>P/FCF</t>
  </si>
  <si>
    <t xml:space="preserve">Share Price (USD)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</si>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</sst>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"/>
    <numFmt numFmtId="166" formatCode="0.0\x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 tint="0.499984740745262"/>
      <name val="Arial"/>
      <family val="2"/>
    </font>
    <font>
      <sz val="10"/>
      <color theme="1" tint="0.499984740745262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b/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0"/>
      <color theme="1"/>
      <name val="Arial"/>
      <family val="2"/>
    </font>
    <font>
      <i/>
      <sz val="10"/>
      <color theme="4"/>
      <name val="Arial"/>
      <family val="2"/>
    </font>
    <font>
      <i/>
      <sz val="10"/>
      <color theme="1"/>
      <name val="Arial"/>
      <family val="2"/>
    </font>
    <font>
      <i/>
      <sz val="10"/>
      <color theme="1" tint="0.499984740745262"/>
      <name val="Arial"/>
      <family val="2"/>
    </font>
    <font>
      <b/>
      <i/>
      <sz val="10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2" fillId="4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6" fillId="0" borderId="0" xfId="0" applyFont="1"/>
    <xf numFmtId="0" fontId="2" fillId="0" borderId="0" xfId="0" applyFont="1" applyAlignment="1">
      <alignment horizontal="right"/>
    </xf>
    <xf numFmtId="0" fontId="2" fillId="5" borderId="0" xfId="0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1" fillId="5" borderId="0" xfId="0" applyFont="1" applyFill="1"/>
    <xf numFmtId="0" fontId="2" fillId="5" borderId="0" xfId="0" applyFont="1" applyFill="1"/>
    <xf numFmtId="0" fontId="8" fillId="0" borderId="0" xfId="0" applyFont="1" applyAlignment="1">
      <alignment horizontal="right"/>
    </xf>
    <xf numFmtId="165" fontId="2" fillId="0" borderId="0" xfId="0" applyNumberFormat="1" applyFont="1"/>
    <xf numFmtId="165" fontId="1" fillId="0" borderId="0" xfId="0" applyNumberFormat="1" applyFont="1"/>
    <xf numFmtId="9" fontId="2" fillId="0" borderId="0" xfId="0" applyNumberFormat="1" applyFont="1"/>
    <xf numFmtId="9" fontId="2" fillId="5" borderId="0" xfId="0" applyNumberFormat="1" applyFont="1" applyFill="1"/>
    <xf numFmtId="0" fontId="1" fillId="0" borderId="0" xfId="0" applyFont="1" applyAlignment="1">
      <alignment horizontal="right"/>
    </xf>
    <xf numFmtId="9" fontId="1" fillId="0" borderId="0" xfId="0" applyNumberFormat="1" applyFont="1"/>
    <xf numFmtId="2" fontId="1" fillId="0" borderId="0" xfId="0" applyNumberFormat="1" applyFont="1"/>
    <xf numFmtId="2" fontId="1" fillId="5" borderId="0" xfId="0" applyNumberFormat="1" applyFont="1" applyFill="1"/>
    <xf numFmtId="165" fontId="1" fillId="5" borderId="0" xfId="0" applyNumberFormat="1" applyFont="1" applyFill="1"/>
    <xf numFmtId="0" fontId="11" fillId="0" borderId="0" xfId="0" applyFont="1"/>
    <xf numFmtId="0" fontId="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/>
    <xf numFmtId="0" fontId="12" fillId="5" borderId="0" xfId="0" applyFont="1" applyFill="1"/>
    <xf numFmtId="9" fontId="13" fillId="0" borderId="0" xfId="0" applyNumberFormat="1" applyFont="1"/>
    <xf numFmtId="9" fontId="13" fillId="5" borderId="0" xfId="0" applyNumberFormat="1" applyFont="1" applyFill="1"/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5" borderId="0" xfId="0" applyFont="1" applyFill="1"/>
    <xf numFmtId="165" fontId="14" fillId="0" borderId="0" xfId="0" applyNumberFormat="1" applyFont="1"/>
    <xf numFmtId="165" fontId="2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5" borderId="0" xfId="0" applyNumberFormat="1" applyFont="1" applyFill="1"/>
    <xf numFmtId="0" fontId="1" fillId="0" borderId="11" xfId="0" applyFont="1" applyBorder="1"/>
    <xf numFmtId="0" fontId="1" fillId="6" borderId="9" xfId="0" applyFont="1" applyFill="1" applyBorder="1"/>
    <xf numFmtId="0" fontId="1" fillId="6" borderId="10" xfId="0" applyFont="1" applyFill="1" applyBorder="1"/>
    <xf numFmtId="0" fontId="15" fillId="0" borderId="0" xfId="0" applyFont="1"/>
    <xf numFmtId="0" fontId="1" fillId="4" borderId="5" xfId="0" applyFont="1" applyFill="1" applyBorder="1"/>
    <xf numFmtId="17" fontId="2" fillId="3" borderId="4" xfId="0" applyNumberFormat="1" applyFont="1" applyFill="1" applyBorder="1" applyAlignment="1">
      <alignment horizontal="center"/>
    </xf>
    <xf numFmtId="0" fontId="1" fillId="4" borderId="0" xfId="0" applyFont="1" applyFill="1"/>
    <xf numFmtId="16" fontId="1" fillId="4" borderId="5" xfId="0" applyNumberFormat="1" applyFont="1" applyFill="1" applyBorder="1" applyAlignment="1">
      <alignment horizontal="center"/>
    </xf>
    <xf numFmtId="16" fontId="4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17" fillId="5" borderId="0" xfId="0" applyFont="1" applyFill="1" applyAlignment="1">
      <alignment horizontal="right"/>
    </xf>
    <xf numFmtId="14" fontId="17" fillId="0" borderId="0" xfId="0" applyNumberFormat="1" applyFont="1" applyAlignment="1">
      <alignment horizontal="right"/>
    </xf>
    <xf numFmtId="164" fontId="2" fillId="0" borderId="0" xfId="0" applyNumberFormat="1" applyFont="1"/>
    <xf numFmtId="164" fontId="2" fillId="5" borderId="0" xfId="0" applyNumberFormat="1" applyFont="1" applyFill="1"/>
    <xf numFmtId="164" fontId="14" fillId="0" borderId="0" xfId="0" applyNumberFormat="1" applyFont="1"/>
    <xf numFmtId="165" fontId="1" fillId="6" borderId="0" xfId="0" applyNumberFormat="1" applyFont="1" applyFill="1"/>
    <xf numFmtId="0" fontId="7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165" fontId="14" fillId="5" borderId="0" xfId="0" applyNumberFormat="1" applyFont="1" applyFill="1"/>
    <xf numFmtId="165" fontId="2" fillId="5" borderId="0" xfId="0" applyNumberFormat="1" applyFont="1" applyFill="1"/>
    <xf numFmtId="9" fontId="1" fillId="5" borderId="0" xfId="0" applyNumberFormat="1" applyFont="1" applyFill="1"/>
    <xf numFmtId="166" fontId="1" fillId="0" borderId="0" xfId="0" applyNumberFormat="1" applyFont="1"/>
    <xf numFmtId="0" fontId="13" fillId="0" borderId="0" xfId="0" applyFont="1" applyAlignment="1">
      <alignment horizontal="right"/>
    </xf>
    <xf numFmtId="0" fontId="1" fillId="0" borderId="0" xfId="0" applyFont="1" applyAlignment="1">
      <alignment horizontal="left" indent="2"/>
    </xf>
    <xf numFmtId="15" fontId="1" fillId="0" borderId="0" xfId="0" applyNumberFormat="1" applyFont="1"/>
    <xf numFmtId="3" fontId="1" fillId="0" borderId="0" xfId="0" applyNumberFormat="1" applyFont="1"/>
    <xf numFmtId="3" fontId="1" fillId="0" borderId="7" xfId="0" applyNumberFormat="1" applyFont="1" applyBorder="1"/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7" fontId="1" fillId="4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4" fontId="1" fillId="0" borderId="0" xfId="0" applyNumberFormat="1" applyFont="1"/>
    <xf numFmtId="4" fontId="1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 by Country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9AB-41D5-803E-A6C483424F7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9AB-41D5-803E-A6C483424F7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9AB-41D5-803E-A6C483424F7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9AB-41D5-803E-A6C483424F7F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'Financial Model'!$B$4:$B$7</c:f>
              <c:strCache>
                <c:ptCount val="4"/>
                <c:pt idx="0">
                  <c:v>UK</c:v>
                </c:pt>
                <c:pt idx="1">
                  <c:v>US</c:v>
                </c:pt>
                <c:pt idx="2">
                  <c:v>Europe</c:v>
                </c:pt>
                <c:pt idx="3">
                  <c:v>ROW</c:v>
                </c:pt>
              </c:strCache>
            </c:strRef>
          </c:cat>
          <c:val>
            <c:numRef>
              <c:f>'Financial Model'!$K$4:$K$7</c:f>
              <c:numCache>
                <c:formatCode>#,##0.0</c:formatCode>
                <c:ptCount val="4"/>
                <c:pt idx="0">
                  <c:v>104.75</c:v>
                </c:pt>
                <c:pt idx="1">
                  <c:v>45.277999999999999</c:v>
                </c:pt>
                <c:pt idx="2">
                  <c:v>60.317</c:v>
                </c:pt>
                <c:pt idx="3">
                  <c:v>55.451999999999998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AB-41D5-803E-A6C483424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439790</xdr:colOff>
      <xdr:row>0</xdr:row>
      <xdr:rowOff>76201</xdr:rowOff>
    </xdr:from>
    <xdr:to>
      <xdr:col>4</xdr:col>
      <xdr:colOff>600075</xdr:colOff>
      <xdr:row>3</xdr:row>
      <xdr:rowOff>72214</xdr:rowOff>
    </xdr:to>
    <xdr:pic>
      <xdr:nvPicPr>
        <xdr:cNvPr id="3" name="Picture 2" descr="RASPBERRY PI HOLDINGS PLC RPI Stock | London Stock Exchange">
          <a:extLst>
            <a:ext uri="{FF2B5EF4-FFF2-40B4-BE49-F238E27FC236}">
              <a16:creationId xmlns:a16="http://schemas.microsoft.com/office/drawing/2014/main" id="{98661C2C-5B11-4438-9801-498865DB3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68590" y="76201"/>
          <a:ext cx="769885" cy="481788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2</xdr:row>
      <xdr:rowOff>38100</xdr:rowOff>
    </xdr:from>
    <xdr:to>
      <xdr:col>12</xdr:col>
      <xdr:colOff>171450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8FD425-3FB1-4719-A264-D614A205F5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raspberrypi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investors.raspberrypi.com/reports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F4785-7CF0-4D4B-866B-DCE268552EE9}">
  <dimension ref="A2:X42"/>
  <sheetViews>
    <sheetView tabSelected="1" workbookViewId="0">
      <selection activeCell="C31" sqref="C31:D31"/>
    </sheetView>
  </sheetViews>
  <sheetFormatPr defaultRowHeight="12.75" x14ac:dyDescent="0.2"/>
  <cols>
    <col min="1" max="1" width="9.42578125" style="1" bestFit="1" customWidth="1"/>
    <col min="2" max="16384" width="9.140625" style="1"/>
  </cols>
  <sheetData>
    <row r="2" spans="1:24" x14ac:dyDescent="0.2">
      <c r="B2" s="2" t="s">
        <v>0</v>
      </c>
      <c r="G2" s="18" t="s">
        <v>25</v>
      </c>
      <c r="H2" s="19"/>
      <c r="I2" s="19"/>
      <c r="J2" s="19"/>
      <c r="K2" s="19"/>
      <c r="L2" s="19"/>
      <c r="M2" s="19"/>
      <c r="N2" s="19"/>
      <c r="O2" s="19"/>
      <c r="P2" s="20"/>
    </row>
    <row r="3" spans="1:24" x14ac:dyDescent="0.2">
      <c r="B3" s="2" t="s">
        <v>1</v>
      </c>
      <c r="G3" s="21" t="s">
        <v>129</v>
      </c>
      <c r="H3" s="22"/>
      <c r="I3" s="22"/>
      <c r="J3" s="22"/>
      <c r="K3" s="22"/>
      <c r="L3" s="22"/>
      <c r="M3" s="22"/>
      <c r="N3" s="22"/>
      <c r="O3" s="22"/>
      <c r="P3" s="23"/>
    </row>
    <row r="5" spans="1:24" x14ac:dyDescent="0.2">
      <c r="B5" s="91" t="s">
        <v>2</v>
      </c>
      <c r="C5" s="92"/>
      <c r="D5" s="93"/>
      <c r="G5" s="91" t="s">
        <v>10</v>
      </c>
      <c r="H5" s="92"/>
      <c r="I5" s="92"/>
      <c r="J5" s="92"/>
      <c r="K5" s="92"/>
      <c r="L5" s="92"/>
      <c r="M5" s="92"/>
      <c r="N5" s="93"/>
      <c r="Q5" s="94" t="s">
        <v>38</v>
      </c>
      <c r="R5" s="94"/>
      <c r="S5" s="94"/>
      <c r="T5" s="94"/>
      <c r="X5" s="24" t="s">
        <v>29</v>
      </c>
    </row>
    <row r="6" spans="1:24" x14ac:dyDescent="0.2">
      <c r="B6" s="3" t="s">
        <v>3</v>
      </c>
      <c r="C6" s="1">
        <v>7.5</v>
      </c>
      <c r="D6" s="13"/>
      <c r="G6" s="7"/>
      <c r="H6" s="61"/>
      <c r="I6" s="61"/>
      <c r="J6" s="61"/>
      <c r="K6" s="61"/>
      <c r="L6" s="61"/>
      <c r="M6" s="61"/>
      <c r="N6" s="59"/>
      <c r="Q6" s="86" t="s">
        <v>39</v>
      </c>
      <c r="R6" s="86"/>
      <c r="S6" s="86"/>
      <c r="T6" s="86"/>
    </row>
    <row r="7" spans="1:24" x14ac:dyDescent="0.2">
      <c r="B7" s="3" t="s">
        <v>4</v>
      </c>
      <c r="C7" s="15">
        <f>+'Financial Model'!F27</f>
        <v>193.41571500000001</v>
      </c>
      <c r="D7" s="13" t="str">
        <f>+$C$30</f>
        <v>H124</v>
      </c>
      <c r="G7" s="7"/>
      <c r="H7" s="61"/>
      <c r="I7" s="61"/>
      <c r="J7" s="61"/>
      <c r="K7" s="61"/>
      <c r="L7" s="61"/>
      <c r="M7" s="61"/>
      <c r="N7" s="59"/>
      <c r="Q7" s="61" t="s">
        <v>44</v>
      </c>
      <c r="R7" s="61"/>
      <c r="S7" s="61"/>
      <c r="T7" s="61">
        <v>2023</v>
      </c>
    </row>
    <row r="8" spans="1:24" x14ac:dyDescent="0.2">
      <c r="B8" s="3" t="s">
        <v>5</v>
      </c>
      <c r="C8" s="81">
        <f>C6*C7</f>
        <v>1450.6178625</v>
      </c>
      <c r="D8" s="13"/>
      <c r="G8" s="60">
        <v>45658</v>
      </c>
      <c r="H8" s="61" t="s">
        <v>161</v>
      </c>
      <c r="I8" s="61"/>
      <c r="J8" s="61"/>
      <c r="K8" s="61"/>
      <c r="L8" s="61"/>
      <c r="M8" s="61"/>
      <c r="N8" s="59"/>
      <c r="Q8" s="61" t="s">
        <v>45</v>
      </c>
      <c r="R8" s="61"/>
      <c r="S8" s="61"/>
      <c r="T8" s="61">
        <v>2024</v>
      </c>
      <c r="U8" s="47" t="s">
        <v>149</v>
      </c>
    </row>
    <row r="9" spans="1:24" x14ac:dyDescent="0.2">
      <c r="B9" s="3" t="s">
        <v>6</v>
      </c>
      <c r="C9" s="81">
        <f>+'Financial Model'!F90*$C$13</f>
        <v>31.916</v>
      </c>
      <c r="D9" s="13" t="str">
        <f t="shared" ref="D9:D11" si="0">+$C$30</f>
        <v>H124</v>
      </c>
      <c r="G9" s="7"/>
      <c r="H9" s="61"/>
      <c r="I9" s="61"/>
      <c r="J9" s="61"/>
      <c r="K9" s="61"/>
      <c r="L9" s="61"/>
      <c r="M9" s="61"/>
      <c r="N9" s="59"/>
      <c r="Q9" s="61" t="s">
        <v>46</v>
      </c>
      <c r="R9" s="61"/>
      <c r="S9" s="61"/>
      <c r="T9" s="61"/>
    </row>
    <row r="10" spans="1:24" x14ac:dyDescent="0.2">
      <c r="B10" s="3" t="s">
        <v>7</v>
      </c>
      <c r="C10" s="81">
        <f>+'Financial Model'!F91*$C$13</f>
        <v>4.5819999999999999</v>
      </c>
      <c r="D10" s="13" t="str">
        <f t="shared" si="0"/>
        <v>H124</v>
      </c>
      <c r="G10" s="60">
        <v>45627</v>
      </c>
      <c r="H10" s="61" t="s">
        <v>157</v>
      </c>
      <c r="I10" s="61"/>
      <c r="J10" s="61"/>
      <c r="K10" s="61"/>
      <c r="L10" s="61"/>
      <c r="M10" s="61"/>
      <c r="N10" s="59"/>
      <c r="Q10" s="61" t="s">
        <v>136</v>
      </c>
      <c r="R10" s="61"/>
      <c r="S10" s="61"/>
      <c r="T10" s="61">
        <v>2021</v>
      </c>
      <c r="W10" s="2" t="s">
        <v>133</v>
      </c>
    </row>
    <row r="11" spans="1:24" x14ac:dyDescent="0.2">
      <c r="B11" s="3" t="s">
        <v>8</v>
      </c>
      <c r="C11" s="81">
        <f>C9-C10</f>
        <v>27.334</v>
      </c>
      <c r="D11" s="13" t="str">
        <f t="shared" si="0"/>
        <v>H124</v>
      </c>
      <c r="G11" s="7"/>
      <c r="H11" s="61"/>
      <c r="I11" s="61"/>
      <c r="J11" s="61"/>
      <c r="K11" s="61"/>
      <c r="L11" s="61"/>
      <c r="M11" s="61"/>
      <c r="N11" s="59"/>
      <c r="Q11" s="61" t="s">
        <v>127</v>
      </c>
      <c r="R11" s="61"/>
      <c r="S11" s="61"/>
      <c r="T11" s="61"/>
      <c r="W11" s="1" t="s">
        <v>134</v>
      </c>
    </row>
    <row r="12" spans="1:24" x14ac:dyDescent="0.2">
      <c r="B12" s="4" t="s">
        <v>9</v>
      </c>
      <c r="C12" s="82">
        <f>C8-C11</f>
        <v>1423.2838624999999</v>
      </c>
      <c r="D12" s="14"/>
      <c r="G12" s="60">
        <v>45597</v>
      </c>
      <c r="H12" s="61" t="s">
        <v>154</v>
      </c>
      <c r="I12" s="61"/>
      <c r="J12" s="61"/>
      <c r="K12" s="61"/>
      <c r="L12" s="61"/>
      <c r="M12" s="61"/>
      <c r="N12" s="59"/>
      <c r="Q12" s="61" t="s">
        <v>128</v>
      </c>
      <c r="R12" s="61"/>
      <c r="S12" s="61"/>
      <c r="T12" s="61">
        <v>2020</v>
      </c>
      <c r="W12" s="1" t="s">
        <v>135</v>
      </c>
    </row>
    <row r="13" spans="1:24" x14ac:dyDescent="0.2">
      <c r="B13" s="56" t="s">
        <v>94</v>
      </c>
      <c r="C13" s="57">
        <v>0.79</v>
      </c>
      <c r="D13" s="55"/>
      <c r="G13" s="7"/>
      <c r="H13" s="61"/>
      <c r="I13" s="61"/>
      <c r="J13" s="61"/>
      <c r="K13" s="61"/>
      <c r="L13" s="61"/>
      <c r="M13" s="61"/>
      <c r="N13" s="59"/>
      <c r="Q13" s="61" t="s">
        <v>137</v>
      </c>
      <c r="R13" s="61"/>
      <c r="S13" s="61"/>
      <c r="T13" s="61">
        <v>2014</v>
      </c>
    </row>
    <row r="14" spans="1:24" x14ac:dyDescent="0.2">
      <c r="G14" s="60">
        <v>45536</v>
      </c>
      <c r="H14" s="61" t="s">
        <v>11</v>
      </c>
      <c r="I14" s="61"/>
      <c r="J14" s="61"/>
      <c r="K14" s="61"/>
      <c r="L14" s="61"/>
      <c r="M14" s="61"/>
      <c r="N14" s="59"/>
      <c r="Q14" s="61" t="s">
        <v>126</v>
      </c>
      <c r="R14" s="61"/>
      <c r="S14" s="61"/>
      <c r="T14" s="61"/>
    </row>
    <row r="15" spans="1:24" x14ac:dyDescent="0.2">
      <c r="B15" s="91" t="s">
        <v>13</v>
      </c>
      <c r="C15" s="92"/>
      <c r="D15" s="93"/>
      <c r="G15" s="7"/>
      <c r="H15" s="61"/>
      <c r="I15" s="61"/>
      <c r="J15" s="61"/>
      <c r="K15" s="61"/>
      <c r="L15" s="61"/>
      <c r="M15" s="61"/>
      <c r="N15" s="59"/>
    </row>
    <row r="16" spans="1:24" x14ac:dyDescent="0.2">
      <c r="A16" s="78" t="s">
        <v>151</v>
      </c>
      <c r="B16" s="5" t="s">
        <v>14</v>
      </c>
      <c r="C16" s="83" t="s">
        <v>150</v>
      </c>
      <c r="D16" s="84"/>
      <c r="G16" s="60">
        <v>45505</v>
      </c>
      <c r="H16" s="61" t="s">
        <v>12</v>
      </c>
      <c r="I16" s="61"/>
      <c r="J16" s="61"/>
      <c r="K16" s="61"/>
      <c r="L16" s="61"/>
      <c r="M16" s="61"/>
      <c r="N16" s="59"/>
      <c r="Q16" s="86" t="s">
        <v>40</v>
      </c>
      <c r="R16" s="86"/>
      <c r="S16" s="86"/>
      <c r="T16" s="86"/>
    </row>
    <row r="17" spans="2:24" x14ac:dyDescent="0.2">
      <c r="B17" s="5" t="s">
        <v>15</v>
      </c>
      <c r="C17" s="83" t="s">
        <v>159</v>
      </c>
      <c r="D17" s="84"/>
      <c r="E17" s="1" t="s">
        <v>160</v>
      </c>
      <c r="G17" s="7"/>
      <c r="H17" s="61"/>
      <c r="I17" s="61"/>
      <c r="J17" s="61"/>
      <c r="K17" s="61"/>
      <c r="L17" s="61"/>
      <c r="M17" s="61"/>
      <c r="N17" s="59"/>
      <c r="Q17" s="61" t="s">
        <v>41</v>
      </c>
      <c r="R17" s="61"/>
      <c r="S17" s="61"/>
      <c r="T17" s="61"/>
      <c r="W17" s="2" t="s">
        <v>138</v>
      </c>
    </row>
    <row r="18" spans="2:24" x14ac:dyDescent="0.2">
      <c r="B18" s="5" t="s">
        <v>16</v>
      </c>
      <c r="C18" s="83"/>
      <c r="D18" s="84"/>
      <c r="G18" s="60">
        <v>45444</v>
      </c>
      <c r="H18" s="61" t="s">
        <v>36</v>
      </c>
      <c r="I18" s="61"/>
      <c r="J18" s="61"/>
      <c r="K18" s="61"/>
      <c r="L18" s="61"/>
      <c r="M18" s="61"/>
      <c r="N18" s="59"/>
      <c r="Q18" s="61" t="s">
        <v>42</v>
      </c>
      <c r="R18" s="61"/>
      <c r="S18" s="61"/>
      <c r="T18" s="61"/>
      <c r="W18" s="41" t="s">
        <v>139</v>
      </c>
    </row>
    <row r="19" spans="2:24" x14ac:dyDescent="0.2">
      <c r="B19" s="6" t="s">
        <v>17</v>
      </c>
      <c r="C19" s="95"/>
      <c r="D19" s="96"/>
      <c r="G19" s="7"/>
      <c r="H19" s="61"/>
      <c r="I19" s="61"/>
      <c r="J19" s="61"/>
      <c r="K19" s="61"/>
      <c r="L19" s="61"/>
      <c r="M19" s="61"/>
      <c r="N19" s="59"/>
      <c r="Q19" s="61" t="s">
        <v>43</v>
      </c>
      <c r="R19" s="61"/>
      <c r="S19" s="61"/>
      <c r="T19" s="61"/>
      <c r="W19" s="41" t="s">
        <v>152</v>
      </c>
      <c r="X19" s="41"/>
    </row>
    <row r="20" spans="2:24" x14ac:dyDescent="0.2">
      <c r="G20" s="7"/>
      <c r="H20" s="61"/>
      <c r="I20" s="61"/>
      <c r="J20" s="61"/>
      <c r="K20" s="61"/>
      <c r="L20" s="61"/>
      <c r="M20" s="61"/>
      <c r="N20" s="59"/>
      <c r="W20" s="79" t="s">
        <v>153</v>
      </c>
      <c r="X20" s="41"/>
    </row>
    <row r="21" spans="2:24" x14ac:dyDescent="0.2">
      <c r="G21" s="7"/>
      <c r="H21" s="61"/>
      <c r="I21" s="61"/>
      <c r="J21" s="61"/>
      <c r="K21" s="61"/>
      <c r="L21" s="61"/>
      <c r="M21" s="61"/>
      <c r="N21" s="59"/>
      <c r="X21" s="41"/>
    </row>
    <row r="22" spans="2:24" x14ac:dyDescent="0.2">
      <c r="B22" s="91" t="s">
        <v>18</v>
      </c>
      <c r="C22" s="92"/>
      <c r="D22" s="93"/>
      <c r="G22" s="7">
        <v>2012</v>
      </c>
      <c r="H22" s="61" t="s">
        <v>132</v>
      </c>
      <c r="I22" s="61"/>
      <c r="J22" s="61"/>
      <c r="K22" s="61"/>
      <c r="L22" s="61"/>
      <c r="M22" s="61"/>
      <c r="N22" s="59"/>
      <c r="Q22" s="86" t="s">
        <v>75</v>
      </c>
      <c r="R22" s="86"/>
      <c r="S22" s="86"/>
      <c r="T22" s="86"/>
    </row>
    <row r="23" spans="2:24" x14ac:dyDescent="0.2">
      <c r="B23" s="7" t="s">
        <v>19</v>
      </c>
      <c r="C23" s="83" t="s">
        <v>27</v>
      </c>
      <c r="D23" s="84"/>
      <c r="G23" s="7"/>
      <c r="H23" s="61"/>
      <c r="I23" s="61"/>
      <c r="J23" s="61"/>
      <c r="K23" s="61"/>
      <c r="L23" s="61"/>
      <c r="M23" s="61"/>
      <c r="N23" s="59"/>
      <c r="Q23" s="61" t="s">
        <v>144</v>
      </c>
      <c r="R23" s="61"/>
      <c r="S23" s="61"/>
      <c r="T23" s="61"/>
    </row>
    <row r="24" spans="2:24" x14ac:dyDescent="0.2">
      <c r="B24" s="7" t="s">
        <v>20</v>
      </c>
      <c r="C24" s="83">
        <v>2012</v>
      </c>
      <c r="D24" s="84"/>
      <c r="E24" s="47" t="s">
        <v>130</v>
      </c>
      <c r="G24" s="7">
        <v>2009</v>
      </c>
      <c r="H24" s="61" t="s">
        <v>131</v>
      </c>
      <c r="I24" s="61"/>
      <c r="J24" s="61"/>
      <c r="K24" s="61"/>
      <c r="L24" s="61"/>
      <c r="M24" s="61"/>
      <c r="N24" s="59"/>
      <c r="Q24" s="61" t="s">
        <v>145</v>
      </c>
      <c r="R24" s="61"/>
      <c r="S24" s="61"/>
      <c r="T24" s="61"/>
    </row>
    <row r="25" spans="2:24" x14ac:dyDescent="0.2">
      <c r="B25" s="7" t="s">
        <v>21</v>
      </c>
      <c r="C25" s="85">
        <v>45444</v>
      </c>
      <c r="D25" s="84"/>
      <c r="G25" s="8"/>
      <c r="H25" s="22"/>
      <c r="I25" s="22"/>
      <c r="J25" s="22"/>
      <c r="K25" s="22"/>
      <c r="L25" s="22"/>
      <c r="M25" s="22"/>
      <c r="N25" s="23"/>
      <c r="Q25" s="61" t="s">
        <v>146</v>
      </c>
      <c r="R25" s="61"/>
      <c r="S25" s="61"/>
      <c r="T25" s="61"/>
    </row>
    <row r="26" spans="2:24" x14ac:dyDescent="0.2">
      <c r="B26" s="7"/>
      <c r="C26" s="83"/>
      <c r="D26" s="84"/>
    </row>
    <row r="27" spans="2:24" x14ac:dyDescent="0.2">
      <c r="B27" s="7" t="s">
        <v>26</v>
      </c>
      <c r="C27" s="83">
        <f>+'Financial Model'!F50</f>
        <v>115</v>
      </c>
      <c r="D27" s="84"/>
    </row>
    <row r="28" spans="2:24" x14ac:dyDescent="0.2">
      <c r="B28" s="7"/>
      <c r="C28" s="9"/>
      <c r="D28" s="10"/>
      <c r="G28" s="37"/>
      <c r="Q28" s="86" t="s">
        <v>77</v>
      </c>
      <c r="R28" s="86"/>
      <c r="S28" s="86"/>
      <c r="T28" s="86"/>
    </row>
    <row r="29" spans="2:24" x14ac:dyDescent="0.2">
      <c r="B29" s="7"/>
      <c r="C29" s="9"/>
      <c r="D29" s="10"/>
      <c r="Q29" s="61" t="s">
        <v>147</v>
      </c>
      <c r="R29" s="61"/>
      <c r="S29" s="61"/>
      <c r="T29" s="61"/>
    </row>
    <row r="30" spans="2:24" x14ac:dyDescent="0.2">
      <c r="B30" s="7" t="s">
        <v>22</v>
      </c>
      <c r="C30" s="9" t="s">
        <v>32</v>
      </c>
      <c r="D30" s="62">
        <v>45559</v>
      </c>
      <c r="Q30" s="61" t="s">
        <v>148</v>
      </c>
      <c r="R30" s="61"/>
      <c r="S30" s="61"/>
      <c r="T30" s="61"/>
    </row>
    <row r="31" spans="2:24" x14ac:dyDescent="0.2">
      <c r="B31" s="8" t="s">
        <v>23</v>
      </c>
      <c r="C31" s="89" t="s">
        <v>37</v>
      </c>
      <c r="D31" s="90"/>
    </row>
    <row r="32" spans="2:24" x14ac:dyDescent="0.2">
      <c r="Q32" s="86" t="s">
        <v>155</v>
      </c>
      <c r="R32" s="86"/>
      <c r="S32" s="86"/>
      <c r="T32" s="86"/>
    </row>
    <row r="33" spans="1:20" x14ac:dyDescent="0.2">
      <c r="Q33" s="61" t="s">
        <v>156</v>
      </c>
      <c r="R33" s="61"/>
      <c r="S33" s="61"/>
      <c r="T33" s="61"/>
    </row>
    <row r="34" spans="1:20" x14ac:dyDescent="0.2">
      <c r="B34" s="91" t="s">
        <v>24</v>
      </c>
      <c r="C34" s="92"/>
      <c r="D34" s="93"/>
    </row>
    <row r="35" spans="1:20" x14ac:dyDescent="0.2">
      <c r="B35" s="7" t="s">
        <v>89</v>
      </c>
      <c r="C35" s="87">
        <f>C6/'Financial Model'!F88</f>
        <v>7.1955251116071421</v>
      </c>
      <c r="D35" s="88"/>
    </row>
    <row r="36" spans="1:20" x14ac:dyDescent="0.2">
      <c r="B36" s="7" t="s">
        <v>90</v>
      </c>
      <c r="C36" s="87">
        <f>(C8*(1/C13))/SUM('Financial Model'!E13:F13)</f>
        <v>5.7293052428105815</v>
      </c>
      <c r="D36" s="88"/>
    </row>
    <row r="37" spans="1:20" x14ac:dyDescent="0.2">
      <c r="B37" s="7" t="s">
        <v>92</v>
      </c>
      <c r="C37" s="87">
        <f>(C12*(1/C13))/SUM('Financial Model'!E13:F13)</f>
        <v>5.6213479140368339</v>
      </c>
      <c r="D37" s="88"/>
    </row>
    <row r="38" spans="1:20" x14ac:dyDescent="0.2">
      <c r="B38" s="7" t="s">
        <v>91</v>
      </c>
      <c r="C38" s="87">
        <f>+C6/('Financial Model'!K26*Main!C13)</f>
        <v>33.446757020721769</v>
      </c>
      <c r="D38" s="88"/>
    </row>
    <row r="39" spans="1:20" x14ac:dyDescent="0.2">
      <c r="B39" s="7" t="s">
        <v>93</v>
      </c>
      <c r="C39" s="87">
        <f>C12/('Financial Model'!K25*Main!C13)</f>
        <v>57.064016926550835</v>
      </c>
      <c r="D39" s="88"/>
    </row>
    <row r="40" spans="1:20" x14ac:dyDescent="0.2">
      <c r="A40" s="80">
        <v>45636</v>
      </c>
      <c r="B40" s="7" t="s">
        <v>158</v>
      </c>
      <c r="C40" s="83">
        <v>42</v>
      </c>
      <c r="D40" s="84"/>
    </row>
    <row r="41" spans="1:20" x14ac:dyDescent="0.2">
      <c r="B41" s="7"/>
      <c r="C41" s="9"/>
      <c r="D41" s="10"/>
    </row>
    <row r="42" spans="1:20" x14ac:dyDescent="0.2">
      <c r="B42" s="8"/>
      <c r="C42" s="11"/>
      <c r="D42" s="12"/>
    </row>
  </sheetData>
  <mergeCells count="27">
    <mergeCell ref="C40:D40"/>
    <mergeCell ref="Q5:T5"/>
    <mergeCell ref="Q6:T6"/>
    <mergeCell ref="Q16:T16"/>
    <mergeCell ref="C19:D19"/>
    <mergeCell ref="B22:D22"/>
    <mergeCell ref="B5:D5"/>
    <mergeCell ref="G5:N5"/>
    <mergeCell ref="B15:D15"/>
    <mergeCell ref="C16:D16"/>
    <mergeCell ref="C17:D17"/>
    <mergeCell ref="C18:D18"/>
    <mergeCell ref="Q22:T22"/>
    <mergeCell ref="C38:D38"/>
    <mergeCell ref="C39:D39"/>
    <mergeCell ref="C37:D37"/>
    <mergeCell ref="C36:D36"/>
    <mergeCell ref="C35:D35"/>
    <mergeCell ref="Q28:T28"/>
    <mergeCell ref="C27:D27"/>
    <mergeCell ref="C31:D31"/>
    <mergeCell ref="B34:D34"/>
    <mergeCell ref="C23:D23"/>
    <mergeCell ref="C24:D24"/>
    <mergeCell ref="C25:D25"/>
    <mergeCell ref="C26:D26"/>
    <mergeCell ref="Q32:T32"/>
  </mergeCells>
  <hyperlinks>
    <hyperlink ref="C31:D31" r:id="rId1" display="Link" xr:uid="{C8D4D434-582F-463A-A9FE-87E24B6B9D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8B329-9CBE-49D8-B2AA-D4DBC0BF2B3C}">
  <dimension ref="A1:M11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4" activeCellId="1" sqref="B4:B7 I4:K7"/>
    </sheetView>
  </sheetViews>
  <sheetFormatPr defaultRowHeight="12.75" x14ac:dyDescent="0.2"/>
  <cols>
    <col min="1" max="1" width="4.28515625" style="1" customWidth="1"/>
    <col min="2" max="2" width="19.7109375" style="1" bestFit="1" customWidth="1"/>
    <col min="3" max="4" width="9.140625" style="1"/>
    <col min="5" max="5" width="9.140625" style="28"/>
    <col min="6" max="6" width="9.140625" style="1"/>
    <col min="7" max="7" width="9.140625" style="28"/>
    <col min="8" max="16384" width="9.140625" style="1"/>
  </cols>
  <sheetData>
    <row r="1" spans="1:13" s="25" customFormat="1" x14ac:dyDescent="0.2">
      <c r="B1" s="30" t="s">
        <v>63</v>
      </c>
      <c r="D1" s="25" t="s">
        <v>30</v>
      </c>
      <c r="E1" s="26" t="s">
        <v>31</v>
      </c>
      <c r="F1" s="72" t="s">
        <v>32</v>
      </c>
      <c r="G1" s="26" t="s">
        <v>140</v>
      </c>
      <c r="I1" s="25" t="s">
        <v>61</v>
      </c>
      <c r="J1" s="25" t="s">
        <v>33</v>
      </c>
      <c r="K1" s="25" t="s">
        <v>28</v>
      </c>
      <c r="L1" s="25" t="s">
        <v>34</v>
      </c>
      <c r="M1" s="25" t="s">
        <v>35</v>
      </c>
    </row>
    <row r="2" spans="1:13" s="65" customFormat="1" x14ac:dyDescent="0.2">
      <c r="A2" s="64"/>
      <c r="D2" s="67">
        <v>45107</v>
      </c>
      <c r="E2" s="66" t="str">
        <f>K2</f>
        <v>31/12/023</v>
      </c>
      <c r="F2" s="67">
        <v>45473</v>
      </c>
      <c r="G2" s="66"/>
      <c r="I2" s="67">
        <v>44561</v>
      </c>
      <c r="J2" s="67">
        <v>44926</v>
      </c>
      <c r="K2" s="65" t="s">
        <v>62</v>
      </c>
    </row>
    <row r="3" spans="1:13" s="16" customFormat="1" x14ac:dyDescent="0.2">
      <c r="A3" s="17"/>
      <c r="E3" s="27"/>
      <c r="F3" s="63">
        <v>45559</v>
      </c>
      <c r="G3" s="27"/>
    </row>
    <row r="4" spans="1:13" s="48" customFormat="1" x14ac:dyDescent="0.2">
      <c r="B4" s="49" t="s">
        <v>80</v>
      </c>
      <c r="D4" s="51">
        <v>27</v>
      </c>
      <c r="E4" s="74">
        <f>K4-D4</f>
        <v>77.75</v>
      </c>
      <c r="F4" s="48">
        <v>77.7</v>
      </c>
      <c r="G4" s="50"/>
      <c r="I4" s="51">
        <v>75.173000000000002</v>
      </c>
      <c r="J4" s="51">
        <v>64.546000000000006</v>
      </c>
      <c r="K4" s="51">
        <v>104.75</v>
      </c>
    </row>
    <row r="5" spans="1:13" s="48" customFormat="1" x14ac:dyDescent="0.2">
      <c r="B5" s="49" t="s">
        <v>81</v>
      </c>
      <c r="D5" s="51">
        <v>19.8</v>
      </c>
      <c r="E5" s="74">
        <f>K5-D5</f>
        <v>25.477999999999998</v>
      </c>
      <c r="F5" s="48">
        <v>26.7</v>
      </c>
      <c r="G5" s="50"/>
      <c r="I5" s="51">
        <v>12.337</v>
      </c>
      <c r="J5" s="51">
        <v>30.446999999999999</v>
      </c>
      <c r="K5" s="51">
        <v>45.277999999999999</v>
      </c>
    </row>
    <row r="6" spans="1:13" s="48" customFormat="1" x14ac:dyDescent="0.2">
      <c r="B6" s="49" t="s">
        <v>82</v>
      </c>
      <c r="D6" s="51">
        <v>23.4</v>
      </c>
      <c r="E6" s="74">
        <f>K6-D6</f>
        <v>36.917000000000002</v>
      </c>
      <c r="F6" s="48">
        <v>22.6</v>
      </c>
      <c r="G6" s="50"/>
      <c r="I6" s="51">
        <v>22.186</v>
      </c>
      <c r="J6" s="51">
        <v>49.491999999999997</v>
      </c>
      <c r="K6" s="51">
        <v>60.317</v>
      </c>
    </row>
    <row r="7" spans="1:13" s="48" customFormat="1" x14ac:dyDescent="0.2">
      <c r="B7" s="49" t="s">
        <v>83</v>
      </c>
      <c r="D7" s="51">
        <f>18.7+0.4</f>
        <v>19.099999999999998</v>
      </c>
      <c r="E7" s="74">
        <f>K7-D7</f>
        <v>36.352000000000004</v>
      </c>
      <c r="F7" s="70">
        <v>17</v>
      </c>
      <c r="G7" s="50"/>
      <c r="I7" s="51">
        <v>30.890999999999998</v>
      </c>
      <c r="J7" s="51">
        <v>43.374000000000002</v>
      </c>
      <c r="K7" s="51">
        <v>55.451999999999998</v>
      </c>
    </row>
    <row r="8" spans="1:13" s="2" customFormat="1" x14ac:dyDescent="0.2">
      <c r="B8" s="2" t="s">
        <v>88</v>
      </c>
      <c r="D8" s="52" t="s">
        <v>66</v>
      </c>
      <c r="E8" s="29"/>
      <c r="F8" s="52" t="s">
        <v>66</v>
      </c>
      <c r="G8" s="29"/>
      <c r="I8" s="52" t="s">
        <v>66</v>
      </c>
      <c r="J8" s="52" t="s">
        <v>66</v>
      </c>
      <c r="K8" s="52" t="s">
        <v>66</v>
      </c>
    </row>
    <row r="9" spans="1:13" s="48" customFormat="1" x14ac:dyDescent="0.2">
      <c r="B9" s="49" t="s">
        <v>84</v>
      </c>
      <c r="D9" s="48">
        <v>74.599999999999994</v>
      </c>
      <c r="E9" s="74">
        <f>K9-D9</f>
        <v>137.679</v>
      </c>
      <c r="F9" s="48">
        <v>89.5</v>
      </c>
      <c r="G9" s="50"/>
      <c r="I9" s="51">
        <v>83.522999999999996</v>
      </c>
      <c r="J9" s="51">
        <v>150.065</v>
      </c>
      <c r="K9" s="51">
        <v>212.279</v>
      </c>
    </row>
    <row r="10" spans="1:13" s="48" customFormat="1" x14ac:dyDescent="0.2">
      <c r="B10" s="49" t="s">
        <v>85</v>
      </c>
      <c r="D10" s="48">
        <v>3.1</v>
      </c>
      <c r="E10" s="74">
        <f>K10-D10</f>
        <v>5.6870000000000012</v>
      </c>
      <c r="F10" s="48">
        <v>10.3</v>
      </c>
      <c r="G10" s="50"/>
      <c r="I10" s="51">
        <v>26.780999999999999</v>
      </c>
      <c r="J10" s="51">
        <v>9.5730000000000004</v>
      </c>
      <c r="K10" s="51">
        <v>8.7870000000000008</v>
      </c>
    </row>
    <row r="11" spans="1:13" s="48" customFormat="1" x14ac:dyDescent="0.2">
      <c r="B11" s="49" t="s">
        <v>86</v>
      </c>
      <c r="D11" s="48">
        <v>11.1</v>
      </c>
      <c r="E11" s="74">
        <f>K11-D11</f>
        <v>32.384</v>
      </c>
      <c r="F11" s="48">
        <v>43.6</v>
      </c>
      <c r="G11" s="50"/>
      <c r="I11" s="51">
        <v>28.062999999999999</v>
      </c>
      <c r="J11" s="51">
        <v>26.591000000000001</v>
      </c>
      <c r="K11" s="51">
        <v>43.484000000000002</v>
      </c>
    </row>
    <row r="12" spans="1:13" s="48" customFormat="1" x14ac:dyDescent="0.2">
      <c r="B12" s="49" t="s">
        <v>87</v>
      </c>
      <c r="D12" s="48">
        <v>0.5</v>
      </c>
      <c r="E12" s="74">
        <f>K12-D12</f>
        <v>0.74700000000000011</v>
      </c>
      <c r="F12" s="48">
        <v>0.6</v>
      </c>
      <c r="G12" s="50"/>
      <c r="I12" s="51">
        <v>2.2200000000000002</v>
      </c>
      <c r="J12" s="51">
        <v>1.63</v>
      </c>
      <c r="K12" s="51">
        <v>1.2470000000000001</v>
      </c>
    </row>
    <row r="13" spans="1:13" s="68" customFormat="1" x14ac:dyDescent="0.2">
      <c r="B13" s="68" t="s">
        <v>47</v>
      </c>
      <c r="D13" s="68">
        <f>SUM(D9:D12)</f>
        <v>89.299999999999983</v>
      </c>
      <c r="E13" s="69">
        <f>SUM(E9:E12)</f>
        <v>176.49700000000001</v>
      </c>
      <c r="F13" s="68">
        <f>SUM(F9:F12)</f>
        <v>144</v>
      </c>
      <c r="G13" s="69"/>
      <c r="I13" s="68">
        <v>140.58699999999999</v>
      </c>
      <c r="J13" s="68">
        <v>187.85900000000001</v>
      </c>
      <c r="K13" s="68">
        <v>265.79700000000003</v>
      </c>
    </row>
    <row r="14" spans="1:13" x14ac:dyDescent="0.2">
      <c r="B14" s="1" t="s">
        <v>48</v>
      </c>
      <c r="D14" s="1">
        <v>66.099999999999994</v>
      </c>
      <c r="E14" s="39">
        <f>K14-D14</f>
        <v>133.74200000000002</v>
      </c>
      <c r="F14" s="1">
        <v>109.8</v>
      </c>
      <c r="I14" s="32">
        <v>98.67</v>
      </c>
      <c r="J14" s="32">
        <v>145.57900000000001</v>
      </c>
      <c r="K14" s="32">
        <v>199.84200000000001</v>
      </c>
    </row>
    <row r="15" spans="1:13" s="2" customFormat="1" x14ac:dyDescent="0.2">
      <c r="B15" s="2" t="s">
        <v>49</v>
      </c>
      <c r="D15" s="31">
        <f>+D13-D14</f>
        <v>23.199999999999989</v>
      </c>
      <c r="E15" s="75">
        <f>+E13-E14</f>
        <v>42.754999999999995</v>
      </c>
      <c r="F15" s="31">
        <f>+F13-F14</f>
        <v>34.200000000000003</v>
      </c>
      <c r="G15" s="29"/>
      <c r="I15" s="31">
        <f>+I13-I14</f>
        <v>41.916999999999987</v>
      </c>
      <c r="J15" s="31">
        <f>+J13-J14</f>
        <v>42.28</v>
      </c>
      <c r="K15" s="31">
        <f>+K13-K14</f>
        <v>65.955000000000013</v>
      </c>
    </row>
    <row r="16" spans="1:13" x14ac:dyDescent="0.2">
      <c r="B16" s="1" t="s">
        <v>50</v>
      </c>
      <c r="D16" s="1">
        <v>8.1999999999999993</v>
      </c>
      <c r="E16" s="39">
        <f t="shared" ref="E16:E24" si="0">K16-D16</f>
        <v>9.4499999999999993</v>
      </c>
      <c r="F16" s="1">
        <v>14.3</v>
      </c>
      <c r="I16" s="32">
        <v>11.792999999999999</v>
      </c>
      <c r="J16" s="32">
        <v>13.794</v>
      </c>
      <c r="K16" s="32">
        <v>17.649999999999999</v>
      </c>
    </row>
    <row r="17" spans="2:11" x14ac:dyDescent="0.2">
      <c r="B17" s="1" t="s">
        <v>51</v>
      </c>
      <c r="D17" s="1">
        <v>4.5999999999999996</v>
      </c>
      <c r="E17" s="39">
        <f t="shared" si="0"/>
        <v>5.9820000000000011</v>
      </c>
      <c r="F17" s="1">
        <v>8.5</v>
      </c>
      <c r="I17" s="32">
        <v>11.124000000000001</v>
      </c>
      <c r="J17" s="32">
        <v>9.2509999999999994</v>
      </c>
      <c r="K17" s="32">
        <v>10.582000000000001</v>
      </c>
    </row>
    <row r="18" spans="2:11" x14ac:dyDescent="0.2">
      <c r="B18" s="1" t="s">
        <v>52</v>
      </c>
      <c r="D18" s="1">
        <v>0</v>
      </c>
      <c r="E18" s="39">
        <f t="shared" si="0"/>
        <v>-0.191</v>
      </c>
      <c r="F18" s="1">
        <v>0</v>
      </c>
      <c r="I18" s="32">
        <v>-0.27200000000000002</v>
      </c>
      <c r="J18" s="32">
        <v>0.83299999999999996</v>
      </c>
      <c r="K18" s="32">
        <v>-0.191</v>
      </c>
    </row>
    <row r="19" spans="2:11" x14ac:dyDescent="0.2">
      <c r="B19" s="1" t="s">
        <v>53</v>
      </c>
      <c r="D19" s="1">
        <v>0</v>
      </c>
      <c r="E19" s="39">
        <f t="shared" si="0"/>
        <v>0</v>
      </c>
      <c r="F19" s="1">
        <v>0</v>
      </c>
      <c r="I19" s="32">
        <v>3.6999999999999998E-2</v>
      </c>
      <c r="J19" s="32">
        <v>0</v>
      </c>
      <c r="K19" s="32">
        <v>0</v>
      </c>
    </row>
    <row r="20" spans="2:11" s="2" customFormat="1" x14ac:dyDescent="0.2">
      <c r="B20" s="2" t="s">
        <v>54</v>
      </c>
      <c r="D20" s="31">
        <f t="shared" ref="D20:F20" si="1">+D15-D16-D17+D18+D19</f>
        <v>10.39999999999999</v>
      </c>
      <c r="E20" s="75">
        <f t="shared" si="1"/>
        <v>27.131999999999994</v>
      </c>
      <c r="F20" s="31">
        <f t="shared" si="1"/>
        <v>11.400000000000002</v>
      </c>
      <c r="G20" s="29"/>
      <c r="I20" s="31">
        <f t="shared" ref="I20:J20" si="2">+I15-I16-I17+I18+I19</f>
        <v>18.764999999999986</v>
      </c>
      <c r="J20" s="31">
        <f t="shared" si="2"/>
        <v>20.067999999999998</v>
      </c>
      <c r="K20" s="31">
        <f>+K15-K16-K17+K18+K19</f>
        <v>37.532000000000011</v>
      </c>
    </row>
    <row r="21" spans="2:11" x14ac:dyDescent="0.2">
      <c r="B21" s="1" t="s">
        <v>55</v>
      </c>
      <c r="D21" s="1">
        <v>0.5</v>
      </c>
      <c r="E21" s="39">
        <f t="shared" si="0"/>
        <v>0.94300000000000006</v>
      </c>
      <c r="F21" s="1">
        <v>0.3</v>
      </c>
      <c r="I21" s="32">
        <v>0</v>
      </c>
      <c r="J21" s="32">
        <v>4.9000000000000002E-2</v>
      </c>
      <c r="K21" s="32">
        <v>1.4430000000000001</v>
      </c>
    </row>
    <row r="22" spans="2:11" x14ac:dyDescent="0.2">
      <c r="B22" s="1" t="s">
        <v>56</v>
      </c>
      <c r="D22" s="1">
        <v>0.2</v>
      </c>
      <c r="E22" s="39">
        <f t="shared" si="0"/>
        <v>0.57899999999999996</v>
      </c>
      <c r="F22" s="1">
        <v>0.9</v>
      </c>
      <c r="I22" s="32">
        <v>0.29199999999999998</v>
      </c>
      <c r="J22" s="32">
        <v>2.9000000000000001E-2</v>
      </c>
      <c r="K22" s="32">
        <v>0.77900000000000003</v>
      </c>
    </row>
    <row r="23" spans="2:11" x14ac:dyDescent="0.2">
      <c r="B23" s="1" t="s">
        <v>57</v>
      </c>
      <c r="D23" s="32">
        <f t="shared" ref="D23:F23" si="3">+D20+D21-D22</f>
        <v>10.69999999999999</v>
      </c>
      <c r="E23" s="39">
        <f t="shared" si="3"/>
        <v>27.495999999999995</v>
      </c>
      <c r="F23" s="32">
        <f t="shared" si="3"/>
        <v>10.800000000000002</v>
      </c>
      <c r="I23" s="32">
        <f t="shared" ref="I23:J23" si="4">+I20+I21-I22</f>
        <v>18.472999999999985</v>
      </c>
      <c r="J23" s="32">
        <f t="shared" si="4"/>
        <v>20.087999999999997</v>
      </c>
      <c r="K23" s="32">
        <f>+K20+K21-K22</f>
        <v>38.196000000000005</v>
      </c>
    </row>
    <row r="24" spans="2:11" x14ac:dyDescent="0.2">
      <c r="B24" s="1" t="s">
        <v>58</v>
      </c>
      <c r="D24" s="1">
        <v>2.2000000000000002</v>
      </c>
      <c r="E24" s="39">
        <f t="shared" si="0"/>
        <v>4.4239999999999995</v>
      </c>
      <c r="F24" s="1">
        <v>3.2</v>
      </c>
      <c r="I24" s="32">
        <v>3.6219999999999999</v>
      </c>
      <c r="J24" s="32">
        <v>3.0209999999999999</v>
      </c>
      <c r="K24" s="32">
        <v>6.6239999999999997</v>
      </c>
    </row>
    <row r="25" spans="2:11" s="2" customFormat="1" x14ac:dyDescent="0.2">
      <c r="B25" s="2" t="s">
        <v>59</v>
      </c>
      <c r="D25" s="31">
        <f t="shared" ref="D25:F25" si="5">+D23-D24</f>
        <v>8.4999999999999893</v>
      </c>
      <c r="E25" s="75">
        <f t="shared" si="5"/>
        <v>23.071999999999996</v>
      </c>
      <c r="F25" s="31">
        <f t="shared" si="5"/>
        <v>7.6000000000000023</v>
      </c>
      <c r="G25" s="29"/>
      <c r="I25" s="31">
        <f t="shared" ref="I25:J25" si="6">+I23-I24</f>
        <v>14.850999999999985</v>
      </c>
      <c r="J25" s="31">
        <f t="shared" si="6"/>
        <v>17.066999999999997</v>
      </c>
      <c r="K25" s="31">
        <f>+K23-K24</f>
        <v>31.572000000000006</v>
      </c>
    </row>
    <row r="26" spans="2:11" s="37" customFormat="1" x14ac:dyDescent="0.2">
      <c r="B26" s="37" t="s">
        <v>60</v>
      </c>
      <c r="D26" s="37">
        <f>D25/D27</f>
        <v>4.3946790983348943E-2</v>
      </c>
      <c r="E26" s="38">
        <f>E25/E27</f>
        <v>0.11928710136092092</v>
      </c>
      <c r="F26" s="37">
        <f>F25/F27</f>
        <v>3.9293601349817943E-2</v>
      </c>
      <c r="G26" s="38"/>
      <c r="I26" s="37">
        <f>I25/I27</f>
        <v>0.14404182266105395</v>
      </c>
      <c r="J26" s="37">
        <f>J25/J27</f>
        <v>0.15525193075656546</v>
      </c>
      <c r="K26" s="37">
        <f>K25/K27</f>
        <v>0.28384428661332378</v>
      </c>
    </row>
    <row r="27" spans="2:11" s="32" customFormat="1" x14ac:dyDescent="0.2">
      <c r="B27" s="32" t="s">
        <v>4</v>
      </c>
      <c r="D27" s="32">
        <v>193.41571500000001</v>
      </c>
      <c r="E27" s="39">
        <f>D27</f>
        <v>193.41571500000001</v>
      </c>
      <c r="F27" s="32">
        <v>193.41571500000001</v>
      </c>
      <c r="G27" s="39"/>
      <c r="I27" s="71">
        <v>103.102</v>
      </c>
      <c r="J27" s="71">
        <v>109.931</v>
      </c>
      <c r="K27" s="71">
        <v>111.23</v>
      </c>
    </row>
    <row r="30" spans="2:11" s="33" customFormat="1" x14ac:dyDescent="0.2">
      <c r="B30" s="33" t="s">
        <v>64</v>
      </c>
      <c r="E30" s="34"/>
      <c r="F30" s="33">
        <f>F13/D13-1</f>
        <v>0.61254199328107539</v>
      </c>
      <c r="G30" s="34"/>
      <c r="I30" s="35" t="s">
        <v>66</v>
      </c>
      <c r="J30" s="33">
        <f>J13/I13-1</f>
        <v>0.33624730593867169</v>
      </c>
      <c r="K30" s="33">
        <f>K13/J13-1</f>
        <v>0.41487498602675421</v>
      </c>
    </row>
    <row r="31" spans="2:11" s="53" customFormat="1" x14ac:dyDescent="0.2">
      <c r="B31" s="49" t="s">
        <v>95</v>
      </c>
      <c r="E31" s="54"/>
      <c r="F31" s="53">
        <f>F4/D4-1</f>
        <v>1.8777777777777778</v>
      </c>
      <c r="G31" s="54"/>
      <c r="I31" s="35" t="s">
        <v>66</v>
      </c>
      <c r="J31" s="53">
        <f t="shared" ref="J31:K34" si="7">J4/I4-1</f>
        <v>-0.1413672462187221</v>
      </c>
      <c r="K31" s="53">
        <f t="shared" si="7"/>
        <v>0.62287360951879256</v>
      </c>
    </row>
    <row r="32" spans="2:11" s="53" customFormat="1" x14ac:dyDescent="0.2">
      <c r="B32" s="49" t="s">
        <v>96</v>
      </c>
      <c r="E32" s="54"/>
      <c r="F32" s="53">
        <f t="shared" ref="F32:F34" si="8">F5/D5-1</f>
        <v>0.3484848484848484</v>
      </c>
      <c r="G32" s="54"/>
      <c r="I32" s="35" t="s">
        <v>66</v>
      </c>
      <c r="J32" s="53">
        <f t="shared" si="7"/>
        <v>1.4679419632001296</v>
      </c>
      <c r="K32" s="53">
        <f t="shared" si="7"/>
        <v>0.48710874634610968</v>
      </c>
    </row>
    <row r="33" spans="2:11" s="53" customFormat="1" x14ac:dyDescent="0.2">
      <c r="B33" s="49" t="s">
        <v>97</v>
      </c>
      <c r="E33" s="54"/>
      <c r="F33" s="53">
        <f t="shared" si="8"/>
        <v>-3.4188034188034067E-2</v>
      </c>
      <c r="G33" s="54"/>
      <c r="I33" s="35" t="s">
        <v>66</v>
      </c>
      <c r="J33" s="53">
        <f t="shared" si="7"/>
        <v>1.2307761651491931</v>
      </c>
      <c r="K33" s="53">
        <f t="shared" si="7"/>
        <v>0.21872221773215883</v>
      </c>
    </row>
    <row r="34" spans="2:11" s="53" customFormat="1" x14ac:dyDescent="0.2">
      <c r="B34" s="49" t="s">
        <v>98</v>
      </c>
      <c r="E34" s="54"/>
      <c r="F34" s="53">
        <f t="shared" si="8"/>
        <v>-0.10994764397905754</v>
      </c>
      <c r="G34" s="54"/>
      <c r="I34" s="35" t="s">
        <v>66</v>
      </c>
      <c r="J34" s="53">
        <f t="shared" si="7"/>
        <v>0.40409828105273404</v>
      </c>
      <c r="K34" s="53">
        <f t="shared" si="7"/>
        <v>0.2784617512795684</v>
      </c>
    </row>
    <row r="35" spans="2:11" s="53" customFormat="1" x14ac:dyDescent="0.2">
      <c r="B35" s="58" t="s">
        <v>99</v>
      </c>
      <c r="E35" s="54"/>
      <c r="G35" s="54"/>
      <c r="I35" s="35"/>
      <c r="J35" s="35"/>
      <c r="K35" s="35"/>
    </row>
    <row r="36" spans="2:11" x14ac:dyDescent="0.2">
      <c r="B36" s="49" t="s">
        <v>100</v>
      </c>
      <c r="F36" s="53">
        <f>F9/D9-1</f>
        <v>0.19973190348525471</v>
      </c>
      <c r="I36" s="35" t="s">
        <v>66</v>
      </c>
      <c r="J36" s="53">
        <f t="shared" ref="J36:K39" si="9">J9/I9-1</f>
        <v>0.79669073189420891</v>
      </c>
      <c r="K36" s="53">
        <f t="shared" si="9"/>
        <v>0.41458034851564318</v>
      </c>
    </row>
    <row r="37" spans="2:11" x14ac:dyDescent="0.2">
      <c r="B37" s="49" t="s">
        <v>101</v>
      </c>
      <c r="F37" s="53">
        <f t="shared" ref="F37:F39" si="10">F10/D10-1</f>
        <v>2.3225806451612905</v>
      </c>
      <c r="I37" s="35" t="s">
        <v>66</v>
      </c>
      <c r="J37" s="53">
        <f t="shared" si="9"/>
        <v>-0.6425450879354766</v>
      </c>
      <c r="K37" s="53">
        <f t="shared" si="9"/>
        <v>-8.2105922908179196E-2</v>
      </c>
    </row>
    <row r="38" spans="2:11" x14ac:dyDescent="0.2">
      <c r="B38" s="49" t="s">
        <v>102</v>
      </c>
      <c r="F38" s="53">
        <f t="shared" si="10"/>
        <v>2.9279279279279282</v>
      </c>
      <c r="I38" s="35" t="s">
        <v>66</v>
      </c>
      <c r="J38" s="53">
        <f t="shared" si="9"/>
        <v>-5.2453408402522772E-2</v>
      </c>
      <c r="K38" s="53">
        <f t="shared" si="9"/>
        <v>0.63529013576021964</v>
      </c>
    </row>
    <row r="39" spans="2:11" x14ac:dyDescent="0.2">
      <c r="B39" s="49" t="s">
        <v>103</v>
      </c>
      <c r="F39" s="53">
        <f t="shared" si="10"/>
        <v>0.19999999999999996</v>
      </c>
      <c r="I39" s="35" t="s">
        <v>66</v>
      </c>
      <c r="J39" s="53">
        <f t="shared" si="9"/>
        <v>-0.26576576576576583</v>
      </c>
      <c r="K39" s="53">
        <f t="shared" si="9"/>
        <v>-0.2349693251533741</v>
      </c>
    </row>
    <row r="40" spans="2:11" x14ac:dyDescent="0.2">
      <c r="B40" s="1" t="s">
        <v>65</v>
      </c>
      <c r="I40" s="35" t="s">
        <v>66</v>
      </c>
      <c r="J40" s="35" t="s">
        <v>66</v>
      </c>
      <c r="K40" s="35" t="s">
        <v>66</v>
      </c>
    </row>
    <row r="42" spans="2:11" x14ac:dyDescent="0.2">
      <c r="B42" s="1" t="s">
        <v>67</v>
      </c>
      <c r="D42" s="36">
        <f>D15/D13</f>
        <v>0.25979843225083976</v>
      </c>
      <c r="E42" s="76">
        <f>E15/E13</f>
        <v>0.2422420777690272</v>
      </c>
      <c r="F42" s="36">
        <f>F15/F13</f>
        <v>0.23750000000000002</v>
      </c>
      <c r="I42" s="36">
        <f>I15/I13</f>
        <v>0.29815701309509407</v>
      </c>
      <c r="J42" s="36">
        <f>J15/J13</f>
        <v>0.22506241383165032</v>
      </c>
      <c r="K42" s="36">
        <f>K15/K13</f>
        <v>0.24814049819975398</v>
      </c>
    </row>
    <row r="43" spans="2:11" x14ac:dyDescent="0.2">
      <c r="B43" s="1" t="s">
        <v>68</v>
      </c>
      <c r="D43" s="36">
        <f>D20/D13</f>
        <v>0.11646136618141088</v>
      </c>
      <c r="E43" s="76">
        <f>E20/E13</f>
        <v>0.1537249924927902</v>
      </c>
      <c r="F43" s="36">
        <f>F20/F13</f>
        <v>7.9166666666666677E-2</v>
      </c>
      <c r="I43" s="36">
        <f>I20/I13</f>
        <v>0.13347606819976235</v>
      </c>
      <c r="J43" s="36">
        <f>J20/J13</f>
        <v>0.10682479945065181</v>
      </c>
      <c r="K43" s="36">
        <f>K20/K13</f>
        <v>0.14120550645793598</v>
      </c>
    </row>
    <row r="44" spans="2:11" x14ac:dyDescent="0.2">
      <c r="B44" s="1" t="s">
        <v>69</v>
      </c>
      <c r="D44" s="36">
        <f>D25/D13</f>
        <v>9.5184770436730015E-2</v>
      </c>
      <c r="E44" s="76">
        <f>E25/E13</f>
        <v>0.13072176864195989</v>
      </c>
      <c r="F44" s="36">
        <f>F25/F13</f>
        <v>5.2777777777777792E-2</v>
      </c>
      <c r="I44" s="36">
        <f>I25/I13</f>
        <v>0.10563565621287876</v>
      </c>
      <c r="J44" s="36">
        <f>J25/J13</f>
        <v>9.0850052432941711E-2</v>
      </c>
      <c r="K44" s="36">
        <f>K25/K13</f>
        <v>0.11878237903362342</v>
      </c>
    </row>
    <row r="45" spans="2:11" x14ac:dyDescent="0.2">
      <c r="B45" s="1" t="s">
        <v>70</v>
      </c>
      <c r="D45" s="36">
        <f t="shared" ref="D45" si="11">D24/D23</f>
        <v>0.20560747663551421</v>
      </c>
      <c r="E45" s="76">
        <f t="shared" ref="E45:F45" si="12">E24/E23</f>
        <v>0.16089613034623218</v>
      </c>
      <c r="F45" s="36">
        <f t="shared" si="12"/>
        <v>0.29629629629629622</v>
      </c>
      <c r="I45" s="36">
        <f t="shared" ref="I45:J45" si="13">I24/I23</f>
        <v>0.19606993991230459</v>
      </c>
      <c r="J45" s="36">
        <f t="shared" si="13"/>
        <v>0.1503882915173238</v>
      </c>
      <c r="K45" s="36">
        <f>K24/K23</f>
        <v>0.17342130065975492</v>
      </c>
    </row>
    <row r="49" spans="2:11" x14ac:dyDescent="0.2">
      <c r="B49" s="40" t="s">
        <v>71</v>
      </c>
    </row>
    <row r="50" spans="2:11" s="2" customFormat="1" x14ac:dyDescent="0.2">
      <c r="B50" s="2" t="s">
        <v>78</v>
      </c>
      <c r="D50" s="2">
        <f>SUM(D51:D56)</f>
        <v>95</v>
      </c>
      <c r="E50" s="29">
        <f t="shared" ref="E50:E56" si="14">K50</f>
        <v>103</v>
      </c>
      <c r="F50" s="2">
        <f>SUM(F51:F56)</f>
        <v>115</v>
      </c>
      <c r="G50" s="29"/>
      <c r="I50" s="2">
        <f>SUM(I51:I56)</f>
        <v>85</v>
      </c>
      <c r="J50" s="2">
        <f>SUM(J51:J56)</f>
        <v>96</v>
      </c>
      <c r="K50" s="2">
        <f>SUM(K51:K56)</f>
        <v>103</v>
      </c>
    </row>
    <row r="51" spans="2:11" s="43" customFormat="1" x14ac:dyDescent="0.2">
      <c r="B51" s="42" t="s">
        <v>72</v>
      </c>
      <c r="D51" s="43">
        <v>46</v>
      </c>
      <c r="E51" s="44">
        <f t="shared" si="14"/>
        <v>50</v>
      </c>
      <c r="F51" s="43">
        <v>61</v>
      </c>
      <c r="G51" s="44"/>
      <c r="I51" s="43">
        <v>39</v>
      </c>
      <c r="J51" s="43">
        <v>44</v>
      </c>
      <c r="K51" s="43">
        <v>50</v>
      </c>
    </row>
    <row r="52" spans="2:11" s="43" customFormat="1" x14ac:dyDescent="0.2">
      <c r="B52" s="42" t="s">
        <v>73</v>
      </c>
      <c r="D52" s="43">
        <v>19</v>
      </c>
      <c r="E52" s="44">
        <f t="shared" si="14"/>
        <v>21</v>
      </c>
      <c r="F52" s="43">
        <v>21</v>
      </c>
      <c r="G52" s="44"/>
      <c r="I52" s="43">
        <v>14</v>
      </c>
      <c r="J52" s="43">
        <v>16</v>
      </c>
      <c r="K52" s="43">
        <v>21</v>
      </c>
    </row>
    <row r="53" spans="2:11" s="43" customFormat="1" x14ac:dyDescent="0.2">
      <c r="B53" s="42" t="s">
        <v>74</v>
      </c>
      <c r="D53" s="73" t="s">
        <v>66</v>
      </c>
      <c r="E53" s="44">
        <f t="shared" si="14"/>
        <v>11</v>
      </c>
      <c r="F53" s="73" t="s">
        <v>66</v>
      </c>
      <c r="G53" s="44"/>
      <c r="I53" s="43">
        <v>8</v>
      </c>
      <c r="J53" s="43">
        <v>10</v>
      </c>
      <c r="K53" s="43">
        <v>11</v>
      </c>
    </row>
    <row r="54" spans="2:11" s="43" customFormat="1" x14ac:dyDescent="0.2">
      <c r="B54" s="42" t="s">
        <v>75</v>
      </c>
      <c r="D54" s="43">
        <v>16</v>
      </c>
      <c r="E54" s="44">
        <f t="shared" si="14"/>
        <v>5</v>
      </c>
      <c r="F54" s="43">
        <v>14</v>
      </c>
      <c r="G54" s="44"/>
      <c r="I54" s="43">
        <v>10</v>
      </c>
      <c r="J54" s="43">
        <v>10</v>
      </c>
      <c r="K54" s="43">
        <v>5</v>
      </c>
    </row>
    <row r="55" spans="2:11" s="43" customFormat="1" x14ac:dyDescent="0.2">
      <c r="B55" s="42" t="s">
        <v>76</v>
      </c>
      <c r="D55" s="43">
        <v>11</v>
      </c>
      <c r="E55" s="44">
        <f t="shared" si="14"/>
        <v>12</v>
      </c>
      <c r="F55" s="43">
        <v>15</v>
      </c>
      <c r="G55" s="44"/>
      <c r="I55" s="43">
        <v>10</v>
      </c>
      <c r="J55" s="43">
        <v>12</v>
      </c>
      <c r="K55" s="43">
        <v>12</v>
      </c>
    </row>
    <row r="56" spans="2:11" s="43" customFormat="1" x14ac:dyDescent="0.2">
      <c r="B56" s="42" t="s">
        <v>77</v>
      </c>
      <c r="D56" s="43">
        <v>3</v>
      </c>
      <c r="E56" s="44">
        <f t="shared" si="14"/>
        <v>4</v>
      </c>
      <c r="F56" s="43">
        <v>4</v>
      </c>
      <c r="G56" s="44"/>
      <c r="I56" s="43">
        <v>4</v>
      </c>
      <c r="J56" s="43">
        <v>4</v>
      </c>
      <c r="K56" s="43">
        <v>4</v>
      </c>
    </row>
    <row r="57" spans="2:11" s="45" customFormat="1" x14ac:dyDescent="0.2">
      <c r="B57" s="45" t="s">
        <v>79</v>
      </c>
      <c r="E57" s="46"/>
      <c r="F57" s="45">
        <f>F50/D50-1</f>
        <v>0.21052631578947367</v>
      </c>
      <c r="G57" s="46"/>
      <c r="I57" s="35" t="s">
        <v>66</v>
      </c>
      <c r="J57" s="45">
        <f>J50/I50-1</f>
        <v>0.12941176470588234</v>
      </c>
      <c r="K57" s="45">
        <f>K50/J50-1</f>
        <v>7.2916666666666741E-2</v>
      </c>
    </row>
    <row r="61" spans="2:11" x14ac:dyDescent="0.2">
      <c r="B61" s="40" t="s">
        <v>104</v>
      </c>
    </row>
    <row r="62" spans="2:11" x14ac:dyDescent="0.2">
      <c r="B62" s="1" t="s">
        <v>105</v>
      </c>
      <c r="D62" s="1">
        <v>42.5</v>
      </c>
      <c r="E62" s="39">
        <f>+K62</f>
        <v>58.634</v>
      </c>
      <c r="F62" s="1">
        <v>65.8</v>
      </c>
      <c r="I62" s="32">
        <v>25.806999999999999</v>
      </c>
      <c r="J62" s="32">
        <v>35.534999999999997</v>
      </c>
      <c r="K62" s="32">
        <v>58.634</v>
      </c>
    </row>
    <row r="63" spans="2:11" x14ac:dyDescent="0.2">
      <c r="B63" s="1" t="s">
        <v>106</v>
      </c>
      <c r="D63" s="1">
        <v>4</v>
      </c>
      <c r="E63" s="39">
        <f>+K63</f>
        <v>5.0780000000000003</v>
      </c>
      <c r="F63" s="1">
        <v>4.7</v>
      </c>
      <c r="I63" s="32">
        <v>3.5590000000000002</v>
      </c>
      <c r="J63" s="32">
        <v>3.7210000000000001</v>
      </c>
      <c r="K63" s="32">
        <v>5.0780000000000003</v>
      </c>
    </row>
    <row r="64" spans="2:11" x14ac:dyDescent="0.2">
      <c r="B64" s="1" t="s">
        <v>107</v>
      </c>
      <c r="D64" s="1">
        <v>1.3</v>
      </c>
      <c r="E64" s="39">
        <f>+K64</f>
        <v>6.7190000000000003</v>
      </c>
      <c r="F64" s="1">
        <v>5.9</v>
      </c>
      <c r="I64" s="32">
        <v>1.679</v>
      </c>
      <c r="J64" s="32">
        <v>1.387</v>
      </c>
      <c r="K64" s="32">
        <v>6.7190000000000003</v>
      </c>
    </row>
    <row r="65" spans="2:11" x14ac:dyDescent="0.2">
      <c r="B65" s="1" t="s">
        <v>108</v>
      </c>
      <c r="D65" s="1">
        <v>3.1</v>
      </c>
      <c r="E65" s="39">
        <f>+K65</f>
        <v>2.698</v>
      </c>
      <c r="F65" s="1">
        <v>2.2999999999999998</v>
      </c>
      <c r="I65" s="32">
        <v>0</v>
      </c>
      <c r="J65" s="32">
        <v>0</v>
      </c>
      <c r="K65" s="32">
        <v>2.698</v>
      </c>
    </row>
    <row r="66" spans="2:11" x14ac:dyDescent="0.2">
      <c r="B66" s="1" t="s">
        <v>109</v>
      </c>
      <c r="D66" s="32">
        <f t="shared" ref="D66:F66" si="15">+SUM(D62:D65)</f>
        <v>50.9</v>
      </c>
      <c r="E66" s="39">
        <f t="shared" si="15"/>
        <v>73.128999999999991</v>
      </c>
      <c r="F66" s="32">
        <f t="shared" si="15"/>
        <v>78.7</v>
      </c>
      <c r="I66" s="32">
        <f t="shared" ref="I66:J66" si="16">+SUM(I62:I65)</f>
        <v>31.044999999999998</v>
      </c>
      <c r="J66" s="32">
        <f t="shared" si="16"/>
        <v>40.643000000000001</v>
      </c>
      <c r="K66" s="32">
        <f>+SUM(K62:K65)</f>
        <v>73.128999999999991</v>
      </c>
    </row>
    <row r="67" spans="2:11" s="2" customFormat="1" x14ac:dyDescent="0.2">
      <c r="B67" s="2" t="s">
        <v>110</v>
      </c>
      <c r="D67" s="2">
        <v>61.9</v>
      </c>
      <c r="E67" s="75">
        <f>+K67</f>
        <v>108.057</v>
      </c>
      <c r="F67" s="2">
        <v>145.69999999999999</v>
      </c>
      <c r="G67" s="29"/>
      <c r="I67" s="31">
        <v>40.576000000000001</v>
      </c>
      <c r="J67" s="31">
        <v>47.889000000000003</v>
      </c>
      <c r="K67" s="31">
        <v>108.057</v>
      </c>
    </row>
    <row r="68" spans="2:11" x14ac:dyDescent="0.2">
      <c r="B68" s="1" t="s">
        <v>111</v>
      </c>
      <c r="D68" s="1">
        <v>33.799999999999997</v>
      </c>
      <c r="E68" s="39">
        <f>+K68</f>
        <v>39.76</v>
      </c>
      <c r="F68" s="1">
        <v>26.5</v>
      </c>
      <c r="I68" s="32">
        <v>20.734000000000002</v>
      </c>
      <c r="J68" s="32">
        <v>26.027000000000001</v>
      </c>
      <c r="K68" s="32">
        <v>39.76</v>
      </c>
    </row>
    <row r="69" spans="2:11" s="2" customFormat="1" x14ac:dyDescent="0.2">
      <c r="B69" s="2" t="s">
        <v>6</v>
      </c>
      <c r="D69" s="2">
        <v>36.9</v>
      </c>
      <c r="E69" s="39">
        <f>+K69</f>
        <v>42.207000000000001</v>
      </c>
      <c r="F69" s="2">
        <v>40.4</v>
      </c>
      <c r="G69" s="29"/>
      <c r="I69" s="31">
        <v>34.429000000000002</v>
      </c>
      <c r="J69" s="31">
        <v>32.843000000000004</v>
      </c>
      <c r="K69" s="31">
        <v>42.207000000000001</v>
      </c>
    </row>
    <row r="70" spans="2:11" x14ac:dyDescent="0.2">
      <c r="B70" s="1" t="s">
        <v>112</v>
      </c>
      <c r="D70" s="1">
        <v>0</v>
      </c>
      <c r="E70" s="39">
        <f>+K70</f>
        <v>2.2010000000000001</v>
      </c>
      <c r="F70" s="1">
        <v>5.5</v>
      </c>
      <c r="I70" s="32">
        <v>0</v>
      </c>
      <c r="J70" s="32">
        <v>0</v>
      </c>
      <c r="K70" s="32">
        <v>2.2010000000000001</v>
      </c>
    </row>
    <row r="71" spans="2:11" x14ac:dyDescent="0.2">
      <c r="B71" s="1" t="s">
        <v>113</v>
      </c>
      <c r="D71" s="32">
        <f t="shared" ref="D71:F71" si="17">+D66+SUM(D67:D70)</f>
        <v>183.5</v>
      </c>
      <c r="E71" s="39">
        <f t="shared" si="17"/>
        <v>265.35399999999998</v>
      </c>
      <c r="F71" s="32">
        <f t="shared" si="17"/>
        <v>296.8</v>
      </c>
      <c r="I71" s="32">
        <f t="shared" ref="I71:J71" si="18">+I66+SUM(I67:I70)</f>
        <v>126.78400000000001</v>
      </c>
      <c r="J71" s="32">
        <f t="shared" si="18"/>
        <v>147.40199999999999</v>
      </c>
      <c r="K71" s="32">
        <f>+K66+SUM(K67:K70)</f>
        <v>265.35399999999998</v>
      </c>
    </row>
    <row r="72" spans="2:11" x14ac:dyDescent="0.2">
      <c r="E72" s="39"/>
      <c r="I72" s="32"/>
      <c r="J72" s="32"/>
      <c r="K72" s="32"/>
    </row>
    <row r="73" spans="2:11" x14ac:dyDescent="0.2">
      <c r="B73" s="1" t="s">
        <v>114</v>
      </c>
      <c r="D73" s="1">
        <v>46.3</v>
      </c>
      <c r="E73" s="39">
        <f>+K73</f>
        <v>81.19</v>
      </c>
      <c r="F73" s="1">
        <v>71.400000000000006</v>
      </c>
      <c r="I73" s="32">
        <v>22.542999999999999</v>
      </c>
      <c r="J73" s="32">
        <v>26.494</v>
      </c>
      <c r="K73" s="32">
        <v>81.19</v>
      </c>
    </row>
    <row r="74" spans="2:11" x14ac:dyDescent="0.2">
      <c r="B74" s="1" t="s">
        <v>115</v>
      </c>
      <c r="D74" s="1">
        <v>0</v>
      </c>
      <c r="E74" s="39">
        <f>+K74</f>
        <v>0.44500000000000001</v>
      </c>
      <c r="F74" s="1">
        <v>0</v>
      </c>
      <c r="I74" s="32">
        <v>0</v>
      </c>
      <c r="J74" s="32">
        <v>0</v>
      </c>
      <c r="K74" s="32">
        <v>0.44500000000000001</v>
      </c>
    </row>
    <row r="75" spans="2:11" x14ac:dyDescent="0.2">
      <c r="B75" s="1" t="s">
        <v>116</v>
      </c>
      <c r="D75" s="1">
        <v>0.2</v>
      </c>
      <c r="E75" s="39">
        <f>+K75</f>
        <v>1.252</v>
      </c>
      <c r="F75" s="1">
        <v>1.3</v>
      </c>
      <c r="I75" s="32">
        <v>0.16500000000000001</v>
      </c>
      <c r="J75" s="32">
        <v>0.26300000000000001</v>
      </c>
      <c r="K75" s="32">
        <v>1.252</v>
      </c>
    </row>
    <row r="76" spans="2:11" x14ac:dyDescent="0.2">
      <c r="B76" s="1" t="s">
        <v>117</v>
      </c>
      <c r="D76" s="1">
        <v>2.1</v>
      </c>
      <c r="E76" s="39">
        <f>+K76</f>
        <v>0</v>
      </c>
      <c r="F76" s="1">
        <v>0</v>
      </c>
      <c r="I76" s="32">
        <v>0.39</v>
      </c>
      <c r="J76" s="32">
        <v>0.76200000000000001</v>
      </c>
      <c r="K76" s="32">
        <v>0</v>
      </c>
    </row>
    <row r="77" spans="2:11" x14ac:dyDescent="0.2">
      <c r="B77" s="1" t="s">
        <v>118</v>
      </c>
      <c r="D77" s="32">
        <f t="shared" ref="D77:F77" si="19">SUM(D73:D76)</f>
        <v>48.6</v>
      </c>
      <c r="E77" s="39">
        <f t="shared" si="19"/>
        <v>82.886999999999986</v>
      </c>
      <c r="F77" s="32">
        <f t="shared" si="19"/>
        <v>72.7</v>
      </c>
      <c r="I77" s="32">
        <f t="shared" ref="I77:J77" si="20">SUM(I73:I76)</f>
        <v>23.097999999999999</v>
      </c>
      <c r="J77" s="32">
        <f t="shared" si="20"/>
        <v>27.519000000000002</v>
      </c>
      <c r="K77" s="32">
        <f>SUM(K73:K76)</f>
        <v>82.886999999999986</v>
      </c>
    </row>
    <row r="78" spans="2:11" x14ac:dyDescent="0.2">
      <c r="B78" s="1" t="s">
        <v>116</v>
      </c>
      <c r="D78" s="1">
        <v>1.4</v>
      </c>
      <c r="E78" s="39">
        <f>+K78</f>
        <v>5.8280000000000003</v>
      </c>
      <c r="F78" s="1">
        <v>5.0999999999999996</v>
      </c>
      <c r="I78" s="32">
        <v>1.9510000000000001</v>
      </c>
      <c r="J78" s="32">
        <v>1.359</v>
      </c>
      <c r="K78" s="32">
        <v>5.8280000000000003</v>
      </c>
    </row>
    <row r="79" spans="2:11" x14ac:dyDescent="0.2">
      <c r="B79" s="1" t="s">
        <v>119</v>
      </c>
      <c r="D79" s="1">
        <v>8.5</v>
      </c>
      <c r="E79" s="39">
        <f>+K79</f>
        <v>10.244</v>
      </c>
      <c r="F79" s="1">
        <v>11.6</v>
      </c>
      <c r="I79" s="32">
        <v>6.2140000000000004</v>
      </c>
      <c r="J79" s="32">
        <v>7.673</v>
      </c>
      <c r="K79" s="32">
        <v>10.244</v>
      </c>
    </row>
    <row r="80" spans="2:11" x14ac:dyDescent="0.2">
      <c r="B80" s="1" t="s">
        <v>120</v>
      </c>
      <c r="D80" s="1">
        <v>3.7</v>
      </c>
      <c r="E80" s="39">
        <f>+K80</f>
        <v>6.4249999999999998</v>
      </c>
      <c r="F80" s="1">
        <v>5.8</v>
      </c>
      <c r="I80" s="32">
        <v>0</v>
      </c>
      <c r="J80" s="32">
        <v>3.7</v>
      </c>
      <c r="K80" s="32">
        <v>6.4249999999999998</v>
      </c>
    </row>
    <row r="81" spans="2:11" x14ac:dyDescent="0.2">
      <c r="B81" s="1" t="s">
        <v>115</v>
      </c>
      <c r="D81" s="1">
        <v>0</v>
      </c>
      <c r="E81" s="39">
        <f>+K81</f>
        <v>0.75600000000000001</v>
      </c>
      <c r="F81" s="1">
        <v>0</v>
      </c>
      <c r="I81" s="32">
        <v>0</v>
      </c>
      <c r="J81" s="32">
        <v>0</v>
      </c>
      <c r="K81" s="32">
        <v>0.75600000000000001</v>
      </c>
    </row>
    <row r="82" spans="2:11" s="2" customFormat="1" x14ac:dyDescent="0.2">
      <c r="B82" s="2" t="s">
        <v>121</v>
      </c>
      <c r="D82" s="31">
        <f t="shared" ref="D82:F82" si="21">SUM(D77:D81)</f>
        <v>62.2</v>
      </c>
      <c r="E82" s="75">
        <f t="shared" si="21"/>
        <v>106.13999999999999</v>
      </c>
      <c r="F82" s="31">
        <f t="shared" si="21"/>
        <v>95.199999999999989</v>
      </c>
      <c r="G82" s="29"/>
      <c r="I82" s="31">
        <f t="shared" ref="I82:J82" si="22">SUM(I77:I81)</f>
        <v>31.262999999999998</v>
      </c>
      <c r="J82" s="31">
        <f t="shared" si="22"/>
        <v>40.251000000000005</v>
      </c>
      <c r="K82" s="31">
        <f>SUM(K77:K81)</f>
        <v>106.13999999999999</v>
      </c>
    </row>
    <row r="83" spans="2:11" x14ac:dyDescent="0.2">
      <c r="E83" s="39"/>
      <c r="I83" s="32"/>
      <c r="J83" s="32"/>
      <c r="K83" s="32"/>
    </row>
    <row r="84" spans="2:11" x14ac:dyDescent="0.2">
      <c r="B84" s="1" t="s">
        <v>125</v>
      </c>
      <c r="D84" s="1">
        <v>121.3</v>
      </c>
      <c r="E84" s="39">
        <f>+K84</f>
        <v>159.214</v>
      </c>
      <c r="F84" s="1">
        <v>201.6</v>
      </c>
      <c r="I84" s="32">
        <v>95.521000000000001</v>
      </c>
      <c r="J84" s="32">
        <v>107.151</v>
      </c>
      <c r="K84" s="32">
        <v>159.214</v>
      </c>
    </row>
    <row r="85" spans="2:11" x14ac:dyDescent="0.2">
      <c r="B85" s="1" t="s">
        <v>122</v>
      </c>
      <c r="D85" s="32">
        <f>+D84+D82</f>
        <v>183.5</v>
      </c>
      <c r="E85" s="39">
        <f>+E84+E82</f>
        <v>265.35399999999998</v>
      </c>
      <c r="F85" s="32">
        <f>+F84+F82</f>
        <v>296.79999999999995</v>
      </c>
      <c r="I85" s="32">
        <f>+I84+I82</f>
        <v>126.78399999999999</v>
      </c>
      <c r="J85" s="32">
        <f>+J84+J82</f>
        <v>147.40199999999999</v>
      </c>
      <c r="K85" s="32">
        <f>+K84+K82</f>
        <v>265.35399999999998</v>
      </c>
    </row>
    <row r="86" spans="2:11" x14ac:dyDescent="0.2">
      <c r="E86" s="39"/>
      <c r="I86" s="32"/>
      <c r="K86" s="32"/>
    </row>
    <row r="87" spans="2:11" x14ac:dyDescent="0.2">
      <c r="B87" s="1" t="s">
        <v>123</v>
      </c>
      <c r="D87" s="32">
        <f t="shared" ref="D87" si="23">D71-D82</f>
        <v>121.3</v>
      </c>
      <c r="E87" s="39">
        <f t="shared" ref="E87:F87" si="24">E71-E82</f>
        <v>159.214</v>
      </c>
      <c r="F87" s="32">
        <f t="shared" si="24"/>
        <v>201.60000000000002</v>
      </c>
      <c r="I87" s="32">
        <f t="shared" ref="I87:J87" si="25">I71-I82</f>
        <v>95.521000000000015</v>
      </c>
      <c r="J87" s="1">
        <f t="shared" si="25"/>
        <v>107.15099999999998</v>
      </c>
      <c r="K87" s="32">
        <f>K71-K82</f>
        <v>159.214</v>
      </c>
    </row>
    <row r="88" spans="2:11" x14ac:dyDescent="0.2">
      <c r="B88" s="1" t="s">
        <v>124</v>
      </c>
      <c r="D88" s="32">
        <f>D87/D27</f>
        <v>0.62714655838590982</v>
      </c>
      <c r="E88" s="28">
        <f>E87/E27</f>
        <v>0.82316992701446201</v>
      </c>
      <c r="F88" s="32">
        <f>F87/F27</f>
        <v>1.0423144779109599</v>
      </c>
      <c r="I88" s="32">
        <f t="shared" ref="I88:K88" si="26">I87/I27</f>
        <v>0.92647087350390889</v>
      </c>
      <c r="J88" s="1">
        <f t="shared" si="26"/>
        <v>0.97471140988438187</v>
      </c>
      <c r="K88" s="32">
        <f t="shared" si="26"/>
        <v>1.4313944079834577</v>
      </c>
    </row>
    <row r="90" spans="2:11" x14ac:dyDescent="0.2">
      <c r="B90" s="1" t="s">
        <v>6</v>
      </c>
      <c r="D90" s="32">
        <f t="shared" ref="D90" si="27">+D69</f>
        <v>36.9</v>
      </c>
      <c r="E90" s="28">
        <f t="shared" ref="E90:F90" si="28">+E69</f>
        <v>42.207000000000001</v>
      </c>
      <c r="F90" s="32">
        <f t="shared" si="28"/>
        <v>40.4</v>
      </c>
      <c r="I90" s="32">
        <f t="shared" ref="I90:J90" si="29">+I69</f>
        <v>34.429000000000002</v>
      </c>
      <c r="J90" s="32">
        <f t="shared" si="29"/>
        <v>32.843000000000004</v>
      </c>
      <c r="K90" s="32">
        <f>+K69</f>
        <v>42.207000000000001</v>
      </c>
    </row>
    <row r="91" spans="2:11" x14ac:dyDescent="0.2">
      <c r="B91" s="1" t="s">
        <v>7</v>
      </c>
      <c r="D91" s="32">
        <f t="shared" ref="D91" si="30">+D80</f>
        <v>3.7</v>
      </c>
      <c r="E91" s="39">
        <f t="shared" ref="E91:F91" si="31">+E80</f>
        <v>6.4249999999999998</v>
      </c>
      <c r="F91" s="32">
        <f t="shared" si="31"/>
        <v>5.8</v>
      </c>
      <c r="I91" s="32">
        <f t="shared" ref="I91:J91" si="32">+I80</f>
        <v>0</v>
      </c>
      <c r="J91" s="32">
        <f t="shared" si="32"/>
        <v>3.7</v>
      </c>
      <c r="K91" s="32">
        <f>+K80</f>
        <v>6.4249999999999998</v>
      </c>
    </row>
    <row r="92" spans="2:11" s="2" customFormat="1" x14ac:dyDescent="0.2">
      <c r="B92" s="2" t="s">
        <v>8</v>
      </c>
      <c r="D92" s="31">
        <f t="shared" ref="D92" si="33">D90-D91</f>
        <v>33.199999999999996</v>
      </c>
      <c r="E92" s="75">
        <f t="shared" ref="E92:F92" si="34">E90-E91</f>
        <v>35.782000000000004</v>
      </c>
      <c r="F92" s="31">
        <f t="shared" si="34"/>
        <v>34.6</v>
      </c>
      <c r="G92" s="29"/>
      <c r="I92" s="31">
        <f t="shared" ref="I92:J92" si="35">I90-I91</f>
        <v>34.429000000000002</v>
      </c>
      <c r="J92" s="31">
        <f t="shared" si="35"/>
        <v>29.143000000000004</v>
      </c>
      <c r="K92" s="31">
        <f>K90-K91</f>
        <v>35.782000000000004</v>
      </c>
    </row>
    <row r="94" spans="2:11" x14ac:dyDescent="0.2">
      <c r="B94" s="1" t="s">
        <v>94</v>
      </c>
      <c r="F94" s="1">
        <v>0.79</v>
      </c>
    </row>
    <row r="95" spans="2:11" x14ac:dyDescent="0.2">
      <c r="B95" s="1" t="s">
        <v>141</v>
      </c>
      <c r="F95" s="1">
        <v>400.5</v>
      </c>
    </row>
    <row r="96" spans="2:11" x14ac:dyDescent="0.2">
      <c r="B96" s="1" t="s">
        <v>142</v>
      </c>
      <c r="F96" s="32">
        <f>+F95+F27</f>
        <v>593.91571499999998</v>
      </c>
    </row>
    <row r="97" spans="2:7" x14ac:dyDescent="0.2">
      <c r="B97" s="1" t="s">
        <v>9</v>
      </c>
      <c r="F97" s="32">
        <f>+F96-(F92*F94)</f>
        <v>566.58171500000003</v>
      </c>
    </row>
    <row r="98" spans="2:7" x14ac:dyDescent="0.2">
      <c r="B98" s="1" t="s">
        <v>143</v>
      </c>
      <c r="F98" s="32">
        <f>F95*(1/F94)</f>
        <v>506.96202531645565</v>
      </c>
    </row>
    <row r="99" spans="2:7" s="97" customFormat="1" x14ac:dyDescent="0.2">
      <c r="B99" s="97" t="s">
        <v>167</v>
      </c>
      <c r="E99" s="98"/>
      <c r="F99" s="97">
        <f>+F98/100</f>
        <v>5.0696202531645564</v>
      </c>
      <c r="G99" s="98"/>
    </row>
    <row r="101" spans="2:7" x14ac:dyDescent="0.2">
      <c r="B101" s="2" t="s">
        <v>24</v>
      </c>
    </row>
    <row r="102" spans="2:7" x14ac:dyDescent="0.2">
      <c r="B102" s="1" t="s">
        <v>89</v>
      </c>
      <c r="F102" s="77">
        <f>(F95/100)/F88</f>
        <v>3.8424104095982141</v>
      </c>
    </row>
    <row r="103" spans="2:7" x14ac:dyDescent="0.2">
      <c r="B103" s="1" t="s">
        <v>90</v>
      </c>
      <c r="F103" s="77">
        <f>(F96*(1/F94))/SUM(E13:F13)</f>
        <v>2.3457069623235083</v>
      </c>
    </row>
    <row r="104" spans="2:7" x14ac:dyDescent="0.2">
      <c r="B104" s="1" t="s">
        <v>91</v>
      </c>
      <c r="F104" s="77">
        <f>(F98/100)/SUM(E26:F26)</f>
        <v>31.968708465189874</v>
      </c>
    </row>
    <row r="105" spans="2:7" x14ac:dyDescent="0.2">
      <c r="B105" s="1" t="s">
        <v>92</v>
      </c>
    </row>
    <row r="106" spans="2:7" x14ac:dyDescent="0.2">
      <c r="B106" s="1" t="s">
        <v>93</v>
      </c>
    </row>
    <row r="108" spans="2:7" x14ac:dyDescent="0.2">
      <c r="B108" s="40" t="s">
        <v>162</v>
      </c>
    </row>
    <row r="109" spans="2:7" x14ac:dyDescent="0.2">
      <c r="B109" s="1" t="s">
        <v>163</v>
      </c>
      <c r="F109" s="1">
        <v>-22.7</v>
      </c>
    </row>
    <row r="110" spans="2:7" x14ac:dyDescent="0.2">
      <c r="B110" s="1" t="s">
        <v>164</v>
      </c>
      <c r="F110" s="1">
        <f>10.1+1.1</f>
        <v>11.2</v>
      </c>
    </row>
    <row r="111" spans="2:7" x14ac:dyDescent="0.2">
      <c r="B111" s="1" t="s">
        <v>165</v>
      </c>
      <c r="F111" s="1">
        <f>+F109-F110</f>
        <v>-33.9</v>
      </c>
    </row>
    <row r="112" spans="2:7" x14ac:dyDescent="0.2">
      <c r="F112" s="1" t="s">
        <v>168</v>
      </c>
    </row>
    <row r="113" spans="2:2" x14ac:dyDescent="0.2">
      <c r="B113" s="1" t="s">
        <v>166</v>
      </c>
    </row>
  </sheetData>
  <hyperlinks>
    <hyperlink ref="F1" r:id="rId1" xr:uid="{288D82BF-51F3-4925-918B-92A8A14B648C}"/>
  </hyperlinks>
  <pageMargins left="0.7" right="0.7" top="0.75" bottom="0.75" header="0.3" footer="0.3"/>
  <pageSetup orientation="portrait" r:id="rId2"/>
  <ignoredErrors>
    <ignoredError sqref="E13 E15 E20 E23 E50 E66:E84" formula="1"/>
  </ignoredErrors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8E126-749B-4F31-9ED3-CE33DAD45BD8}">
  <dimension ref="A1"/>
  <sheetViews>
    <sheetView workbookViewId="0">
      <selection activeCell="O33" sqref="O33"/>
    </sheetView>
  </sheetViews>
  <sheetFormatPr defaultRowHeight="12.75" x14ac:dyDescent="0.2"/>
  <cols>
    <col min="1" max="16384" width="9.14062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Data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2024-09-16T13:34:34Z</dcterms:created>
  <dcterms:modified xsi:type="dcterms:W3CDTF">2025-02-18T17:23:22Z</dcterms:modified>
</cp:coreProperties>
</file>