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0EADF51A-C380-4085-84EB-55F9888C5D3D}" xr6:coauthVersionLast="36" xr6:coauthVersionMax="47" xr10:uidLastSave="{00000000-0000-0000-0000-000000000000}"/>
  <bookViews>
    <workbookView xWindow="675" yWindow="495" windowWidth="32400" windowHeight="18900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AD18" i="1" l="1"/>
  <c r="AC18" i="1"/>
  <c r="AB18" i="1"/>
  <c r="F18" i="1"/>
  <c r="L6" i="3" l="1"/>
  <c r="L1" i="3" s="1"/>
  <c r="J6" i="3"/>
  <c r="I6" i="3"/>
  <c r="AA28" i="1"/>
  <c r="Z28" i="1"/>
  <c r="AC28" i="1"/>
  <c r="AB28" i="1"/>
  <c r="T28" i="1"/>
  <c r="S28" i="1"/>
  <c r="W28" i="1"/>
  <c r="L28" i="1"/>
  <c r="N28" i="1" l="1"/>
  <c r="O28" i="1"/>
  <c r="M28" i="1"/>
  <c r="W5" i="1"/>
  <c r="W1" i="1" l="1"/>
  <c r="W10" i="1"/>
  <c r="W7" i="1"/>
  <c r="W3" i="1"/>
  <c r="AD3" i="1" l="1"/>
  <c r="AC3" i="1"/>
  <c r="AB3" i="1"/>
  <c r="J3" i="1" l="1"/>
  <c r="I3" i="1"/>
  <c r="H3" i="1"/>
  <c r="G3" i="1"/>
  <c r="F3" i="1"/>
  <c r="L9" i="1" l="1"/>
  <c r="AD4" i="1" l="1"/>
  <c r="AD5" i="1" l="1"/>
  <c r="AD8" i="1" l="1"/>
  <c r="AD10" i="1" l="1"/>
  <c r="AD7" i="1" l="1"/>
  <c r="AD9" i="1" l="1"/>
  <c r="X9" i="1" l="1"/>
  <c r="U9" i="1" l="1"/>
  <c r="T9" i="1"/>
  <c r="S9" i="1"/>
  <c r="AC9" i="1" l="1"/>
  <c r="AB9" i="1"/>
  <c r="AA9" i="1"/>
  <c r="Z9" i="1"/>
  <c r="G9" i="1"/>
  <c r="F9" i="1"/>
  <c r="H9" i="1" l="1"/>
  <c r="I9" i="1"/>
  <c r="J9" i="1" l="1"/>
  <c r="F30" i="4" a="1"/>
  <c r="F30" i="4" s="1"/>
  <c r="AC8" i="1"/>
  <c r="AB8" i="1"/>
  <c r="AC4" i="1"/>
  <c r="AB4" i="1"/>
  <c r="AC5" i="1" l="1"/>
  <c r="AB5" i="1"/>
  <c r="AC6" i="1"/>
  <c r="AB6" i="1"/>
  <c r="AC7" i="1" l="1"/>
  <c r="AB7" i="1"/>
  <c r="AC10" i="1"/>
  <c r="AB10" i="1"/>
  <c r="AA7" i="1" l="1"/>
  <c r="Z7" i="1"/>
  <c r="X7" i="1"/>
  <c r="J4" i="1" l="1"/>
  <c r="I4" i="1"/>
  <c r="H4" i="1"/>
  <c r="G4" i="1"/>
  <c r="F4" i="1"/>
  <c r="L6" i="1" l="1"/>
  <c r="AA6" i="1" l="1"/>
  <c r="Z6" i="1"/>
  <c r="X6" i="1"/>
  <c r="X1" i="1" s="1"/>
  <c r="J6" i="1" l="1"/>
  <c r="I6" i="1"/>
  <c r="H6" i="1"/>
  <c r="G6" i="1"/>
  <c r="F6" i="1"/>
  <c r="G8" i="1" l="1"/>
  <c r="G10" i="1"/>
  <c r="G7" i="1"/>
  <c r="G5" i="1"/>
  <c r="L7" i="1" l="1"/>
  <c r="J5" i="1" l="1"/>
  <c r="J7" i="1"/>
  <c r="J8" i="1"/>
  <c r="I5" i="1"/>
  <c r="H5" i="1"/>
  <c r="F5" i="1"/>
  <c r="H16" i="1"/>
  <c r="H17" i="1"/>
  <c r="I8" i="1"/>
  <c r="H8" i="1"/>
  <c r="F8" i="1"/>
  <c r="I7" i="1"/>
  <c r="H7" i="1"/>
  <c r="F7" i="1"/>
  <c r="L10" i="1" l="1"/>
  <c r="T10" i="1" l="1"/>
  <c r="S10" i="1"/>
  <c r="H10" i="1"/>
  <c r="F10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10" i="1" l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S5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S7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T7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U7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S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T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S9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T9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U9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S10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T10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S13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T13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<sst xmlns="http://schemas.openxmlformats.org/spreadsheetml/2006/main" count="1112" uniqueCount="640">
  <si>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</si>
  <si>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</si>
  <si>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</si>
  <si>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</si>
  <si>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</si>
  <si>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</si>
  <si>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</si>
  <si>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</si>
  <si>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</si>
  <si>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</si>
  <si>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</si>
  <si>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</si>
  <si>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</si>
  <si>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</si>
  <si>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</si>
  <si>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</si>
  <si>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</si>
  <si>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</si>
  <si>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</si>
  <si>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</si>
  <si>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</si>
  <si>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</si>
  <si>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</si>
  <si>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</si>
  <si>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</si>
  <si>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</si>
  <si>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</si>
  <si>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</si>
  <si>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</si>
  <si>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</si>
  <si>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</si>
  <si>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</si>
  <si>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</si>
  <si>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</si>
  <si>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</si>
  <si>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</si>
  <si>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</si>
  <si>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</si>
  <si>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</si>
  <si>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</si>
  <si>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</si>
  <si>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</si>
  <si>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</si>
  <si>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</si>
  <si>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</si>
  <si>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</si>
  <si>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</si>
  <si>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</si>
  <si>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</si>
  <si>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</si>
  <si>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</si>
  <si>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</si>
  <si>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</si>
  <si>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</si>
  <si>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</si>
  <si>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</si>
  <si>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</si>
  <si>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</si>
  <si>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</si>
  <si>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</si>
  <si>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</si>
  <si>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</si>
  <si>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</si>
  <si>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</si>
  <si>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</si>
  <si>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</si>
  <si>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</si>
  <si>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</si>
  <si>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</si>
  <si>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</si>
  <si>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</si>
  <si>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</si>
  <si>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</si>
  <si>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</si>
  <si>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</si>
  <si>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</si>
  <si>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</si>
  <si>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</si>
  <si>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</si>
  <si>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</si>
  <si>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</si>
  <si>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</si>
  <si>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</si>
  <si>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</si>
  <si>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</si>
  <si>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</si>
  <si>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</si>
  <si>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</si>
  <si>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</si>
  <si>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</si>
  <si>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</si>
  <si>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</si>
  <si>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</si>
  <si>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</si>
  <si>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</si>
  <si>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</si>
  <si>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</si>
  <si>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</si>
  <si>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</si>
  <si>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</si>
  <si>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</si>
  <si>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</si>
  <si>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</si>
  <si>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</si>
  <si>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</si>
  <si>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</si>
  <si>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</si>
  <si>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</si>
  <si>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</si>
  <si>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</si>
  <si>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</si>
  <si>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</si>
  <si>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</si>
  <si>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</si>
  <si>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</si>
  <si>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</si>
  <si>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</si>
  <si>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</si>
  <si>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</si>
  <si>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</si>
  <si>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</si>
  <si>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</si>
  <si>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</si>
  <si>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</si>
  <si>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</si>
  <si>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</si>
  <si>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</si>
  <si>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</si>
  <si>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</si>
  <si>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</si>
  <si>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</si>
  <si>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</si>
  <si>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</si>
  <si>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</si>
  <si>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</si>
  <si>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</si>
  <si>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</si>
  <si>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</si>
  <si>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</si>
  <si>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</si>
  <si>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</si>
  <si>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</si>
  <si>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</si>
  <si>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</si>
  <si>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</si>
  <si>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</si>
  <si>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</si>
  <si>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</si>
  <si>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</si>
  <si>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</si>
  <si>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</si>
  <si>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</si>
  <si>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</si>
  <si>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</si>
  <si>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</si>
  <si>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</si>
  <si>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</si>
  <si>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</si>
  <si>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</si>
  <si>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</si>
  <si>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</si>
  <si>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</si>
  <si>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</si>
  <si>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</si>
  <si>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</si>
  <si>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</si>
  <si>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</si>
  <si>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</si>
  <si>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</si>
  <si>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</si>
  <si>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</si>
  <si>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</si>
  <si>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</si>
  <si>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</si>
  <si>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</si>
  <si>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</si>
  <si>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</si>
  <si>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</si>
  <si>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</si>
  <si>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</si>
  <si>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</si>
  <si>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</si>
  <si>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</si>
  <si>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</si>
  <si>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</si>
  <si>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</si>
  <si>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</si>
  <si>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</si>
  <si>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</si>
  <si>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</si>
  <si>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</si>
  <si>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</si>
  <si>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</si>
  <si>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</si>
  <si>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</si>
  <si>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</si>
  <si>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</si>
  <si>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</si>
  <si>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</si>
  <si>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</si>
  <si>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</si>
  <si>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</si>
  <si>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</si>
  <si>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</si>
  <si>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</si>
  <si>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</si>
  <si>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</si>
  <si>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</si>
  <si>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</si>
  <si>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</si>
  <si>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</si>
  <si>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</si>
  <si>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</si>
  <si>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</si>
  <si>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</si>
  <si>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</si>
  <si>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</si>
  <si>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</si>
  <si>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</si>
  <si>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</si>
  <si>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</si>
  <si>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</si>
  <si>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</si>
  <si>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</si>
  <si>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</si>
  <si>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</si>
  <si>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</si>
  <si>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</si>
  <si>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</si>
  <si>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</si>
  <si>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</si>
  <si>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</si>
  <si>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</si>
  <si>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</si>
  <si>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</si>
  <si>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</si>
  <si>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</si>
  <si>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</si>
  <si>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</si>
  <si>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</si>
  <si>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</si>
  <si>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</si>
  <si>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</si>
  <si>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</si>
  <si>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</si>
  <si>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</si>
  <si>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</si>
  <si>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</si>
  <si>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</si>
  <si>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</si>
  <si>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</si>
  <si>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</si>
  <si>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</si>
  <si>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</si>
  <si>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</si>
  <si>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</si>
  <si>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</si>
  <si>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</si>
  <si>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</si>
  <si>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</si>
  <si>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</si>
  <si>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</si>
  <si>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</si>
  <si>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</si>
  <si>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</si>
  <si>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</si>
  <si>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</si>
  <si>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</si>
  <si>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</si>
  <si>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</si>
  <si>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</si>
  <si>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</si>
  <si>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</si>
  <si>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</si>
  <si>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</si>
  <si>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</si>
  <si>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</si>
  <si>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</si>
  <si>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</si>
  <si>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</si>
  <si>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</si>
  <si>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</si>
  <si>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</si>
  <si>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</si>
  <si>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</si>
  <si>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</si>
  <si>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</si>
  <si>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</si>
  <si>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</si>
  <si>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</si>
  <si>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</si>
  <si>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</si>
  <si>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</si>
  <si>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</si>
  <si>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</si>
  <si>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</si>
  <si>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</si>
  <si>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</si>
  <si>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</si>
  <si>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</si>
  <si>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</si>
  <si>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</si>
  <si>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</si>
  <si>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</si>
  <si>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</si>
  <si>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</si>
  <si>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</si>
  <si>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</si>
  <si>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</si>
  <si>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</si>
  <si>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</si>
  <si>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</si>
  <si>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</si>
  <si>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</si>
  <si>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</si>
  <si>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</si>
  <si>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</si>
  <si>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</si>
  <si>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</si>
  <si>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</si>
  <si>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</si>
  <si>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</si>
  <si>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</si>
  <si>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</si>
  <si>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</si>
  <si>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</si>
  <si>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</si>
  <si>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</si>
  <si>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</si>
  <si>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</si>
  <si>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</si>
  <si>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</si>
  <si>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</si>
  <si>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</si>
  <si>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</si>
  <si>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</si>
  <si>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</si>
  <si>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</si>
  <si>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</si>
  <si>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</si>
  <si>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</si>
  <si>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</si>
  <si>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</si>
  <si>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</si>
  <si>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</si>
  <si>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</si>
  <si>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</si>
  <si>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</si>
  <si>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</si>
  <si>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</si>
  <si>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</si>
  <si>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</si>
  <si>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</si>
  <si>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</si>
  <si>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</si>
  <si>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</si>
  <si>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</si>
  <si>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</si>
  <si>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</si>
  <si>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</si>
  <si>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</si>
  <si>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</si>
  <si>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</si>
  <si>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</si>
  <si>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</si>
  <si>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</si>
  <si>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</si>
  <si>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</si>
  <si>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</si>
  <si>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</si>
  <si>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</si>
  <si>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</si>
  <si>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</si>
  <si>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</si>
  <si>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</si>
  <si>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</si>
  <si>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</si>
  <si>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</si>
  <si>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</si>
  <si>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</si>
  <si>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</si>
  <si>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</si>
  <si>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</si>
  <si>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</si>
  <si>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</si>
  <si>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</si>
  <si>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</si>
  <si>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</si>
  <si>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</si>
  <si>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</si>
  <si>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</si>
  <si>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</si>
  <si>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</si>
  <si>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</si>
  <si>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</si>
  <si>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</si>
  <si>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</si>
  <si>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</si>
  <si>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</si>
  <si>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</si>
  <si>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</si>
  <si>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</si>
  <si>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</si>
  <si>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</si>
  <si>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</si>
  <si>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</si>
  <si>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</si>
  <si>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</si>
  <si>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</si>
  <si>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</si>
  <si>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</si>
  <si>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</si>
  <si>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</si>
  <si>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</si>
  <si>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</si>
  <si>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</si>
  <si>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</si>
  <si>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</si>
  <si>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</si>
  <si>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</si>
  <si>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</si>
  <si>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</si>
  <si>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</si>
  <si>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</si>
  <si>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</si>
  <si>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</si>
  <si>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</si>
  <si>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</si>
  <si>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</si>
  <si>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</si>
  <si>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</si>
  <si>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</si>
  <si>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</si>
  <si>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</si>
  <si>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</si>
  <si>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</si>
  <si>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</si>
  <si>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</si>
  <si>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</si>
  <si>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</si>
  <si>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</si>
  <si>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</si>
  <si>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</si>
  <si>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</si>
  <si>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</si>
  <si>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</si>
  <si>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</si>
  <si>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</si>
  <si>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</si>
  <si>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</si>
  <si>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</si>
  <si>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</si>
  <si>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</si>
  <si>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</si>
  <si>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</si>
  <si>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</si>
  <si>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</si>
  <si>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</si>
  <si>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</si>
  <si>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</si>
  <si>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</si>
  <si>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</si>
  <si>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</si>
  <si>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</si>
  <si>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</si>
  <si>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</si>
  <si>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</si>
  <si>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</si>
  <si>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</si>
  <si>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</si>
  <si>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</si>
  <si>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</si>
  <si>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</si>
  <si>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</si>
  <si>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</si>
  <si>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</si>
  <si>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</si>
  <si>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</si>
  <si>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</si>
  <si>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</si>
  <si>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</si>
  <si>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</si>
  <si>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</si>
  <si>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</si>
  <si>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</si>
  <si>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</si>
  <si>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</si>
  <si>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</si>
  <si>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</si>
  <si>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</si>
  <si>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</si>
  <si>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</si>
  <si>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</si>
  <si>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</si>
  <si>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</si>
  <si>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</si>
  <si>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</si>
  <si>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</si>
  <si>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</si>
  <si>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</si>
  <si>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</si>
  <si>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</si>
  <si>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</si>
  <si>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</si>
  <si>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</si>
  <si>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</si>
  <si>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</si>
  <si>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</si>
  <si>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</si>
  <si>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</si>
  <si>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</si>
  <si>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</si>
  <si>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</si>
  <si>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</si>
  <si>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</si>
  <si>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</si>
  <si>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</si>
  <si>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</si>
  <si>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</si>
  <si>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</si>
  <si>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</si>
  <si>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</si>
  <si>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</si>
  <si>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</si>
  <si>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</si>
  <si>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</si>
  <si>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</si>
  <si>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</si>
  <si>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</si>
  <si>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</si>
  <si>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</si>
  <si>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</si>
  <si>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</si>
  <si>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</si>
  <si>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</si>
  <si>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</si>
  <si>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</si>
  <si>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</si>
  <si>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</si>
  <si>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</si>
  <si>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</si>
  <si>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</si>
  <si>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</si>
  <si>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</si>
  <si>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</si>
  <si>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</si>
  <si>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</si>
  <si>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</si>
  <si>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</si>
  <si>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</si>
  <si>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</si>
  <si>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</si>
  <si>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</si>
  <si>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</si>
  <si>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</si>
  <si>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</si>
  <si>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</si>
  <si>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</si>
  <si>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</si>
  <si>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</si>
  <si>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</si>
  <si>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</si>
  <si>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</si>
  <si>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</si>
  <si>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</si>
  <si>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</si>
  <si>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</si>
  <si>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</si>
  <si>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</si>
  <si>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</si>
  <si>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</si>
  <si>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</si>
  <si>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</si>
  <si>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</si>
  <si>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</si>
  <si>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</si>
  <si>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</si>
  <si>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</si>
  <si>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</si>
  <si>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</si>
  <si>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</si>
  <si>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</si>
  <si>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</si>
  <si>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</si>
  <si>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</si>
  <si>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</si>
  <si>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</si>
  <si>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</si>
  <si>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</si>
  <si>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</si>
  <si>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</si>
  <si>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</si>
  <si>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</si>
  <si>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</si>
  <si>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</si>
  <si>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</si>
  <si>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</si>
  <si>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</si>
  <si>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</si>
  <si>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</si>
  <si>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</si>
  <si>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</si>
  <si>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</si>
  <si>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</si>
  <si>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Flag carrier for China, 1/3 of "Big Three" Chinese airlines</t>
  </si>
  <si>
    <t>Worldwide cargo &amp; combi charters for freight as well as US DoD. Leasing (Prime Air etc.)</t>
  </si>
  <si>
    <t>IPO</t>
  </si>
  <si>
    <t>Avg Age</t>
  </si>
  <si>
    <t>Fleet Age</t>
  </si>
  <si>
    <t>Link</t>
  </si>
  <si>
    <t>PAX 20</t>
  </si>
  <si>
    <t>PAX 21</t>
  </si>
  <si>
    <t>PAX 22</t>
  </si>
  <si>
    <t>Hagondale Ltd. (Titan Airways)</t>
  </si>
  <si>
    <t>Charter &amp; Specialist</t>
  </si>
  <si>
    <t>Exeter</t>
  </si>
  <si>
    <t>Flybe 1979-2020 collapsed in March 2020, brand bought out by Cyrus Capital with a plan to relaunch . Collapsed again in January 2023</t>
  </si>
  <si>
    <t>Humberside Airport</t>
  </si>
  <si>
    <t>Stanstead Airport</t>
  </si>
  <si>
    <t>Crawley (Gatwick)</t>
  </si>
  <si>
    <t>Private Equity</t>
  </si>
  <si>
    <t>Titan Airways</t>
  </si>
  <si>
    <t>Hagondale Limited</t>
  </si>
  <si>
    <t>-</t>
  </si>
  <si>
    <t>OM %</t>
  </si>
  <si>
    <t>NM %</t>
  </si>
  <si>
    <t>Tax Rate</t>
  </si>
  <si>
    <t>Charter &amp; specialist contract airline based in the UK + Aircraft Leasing</t>
  </si>
  <si>
    <t>(Normalised to GBP)</t>
  </si>
  <si>
    <t>Regional &amp; short-haul</t>
  </si>
  <si>
    <t>$SKYW</t>
  </si>
  <si>
    <t>SkyWest, Inc.</t>
  </si>
  <si>
    <t>$SAVE</t>
  </si>
  <si>
    <t>$FDX</t>
  </si>
  <si>
    <t>FedEx Corporation</t>
  </si>
  <si>
    <t>$UPS</t>
  </si>
  <si>
    <t>United Postal Service, Inc.</t>
  </si>
  <si>
    <t>Freight &amp; Cargo</t>
  </si>
  <si>
    <t>Ultra-low cost carrier covering North America</t>
  </si>
  <si>
    <t>Regional airline operating flights scheduled, maintained &amp; sold by partner 'mailine'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</si>
</sst>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  <numFmt numFmtId="169" formatCode="0.0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168" fontId="17" fillId="0" borderId="0" xfId="0" applyNumberFormat="1" applyFont="1" applyAlignment="1">
      <alignment horizontal="center"/>
    </xf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1" fillId="7" borderId="0" xfId="1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2" fontId="1" fillId="0" borderId="0" xfId="0" applyNumberFormat="1" applyFont="1"/>
    <xf numFmtId="0" fontId="13" fillId="6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RYA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DA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rivate%20Equity/Hagondale%20Ltd.%20(Titan%20Airway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69.05</v>
          </cell>
        </row>
        <row r="7">
          <cell r="C7">
            <v>227.43</v>
          </cell>
        </row>
        <row r="11">
          <cell r="C11">
            <v>0</v>
          </cell>
        </row>
        <row r="12">
          <cell r="C12">
            <v>15704.041499999999</v>
          </cell>
        </row>
        <row r="30">
          <cell r="C30" t="str">
            <v>Dublin, Ireland</v>
          </cell>
        </row>
        <row r="31">
          <cell r="C31">
            <v>1984</v>
          </cell>
        </row>
        <row r="32">
          <cell r="C32">
            <v>1997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  <cell r="V12">
            <v>13.233333333333334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73.998000000000005</v>
          </cell>
        </row>
        <row r="8">
          <cell r="C8">
            <v>2106.7230600000003</v>
          </cell>
        </row>
        <row r="11">
          <cell r="C11">
            <v>-1315.1569999999999</v>
          </cell>
        </row>
        <row r="12">
          <cell r="C12">
            <v>3421.8800600000004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Q322</v>
          </cell>
          <cell r="D33">
            <v>44868</v>
          </cell>
        </row>
        <row r="38">
          <cell r="C38">
            <v>1.4375141996217067</v>
          </cell>
        </row>
      </sheetData>
      <sheetData sheetId="1">
        <row r="37">
          <cell r="U37">
            <v>0.33604299344574362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1">
          <cell r="D21"/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33.74</v>
          </cell>
        </row>
        <row r="23">
          <cell r="C23" t="str">
            <v>Atlanta, GA</v>
          </cell>
        </row>
        <row r="24">
          <cell r="C24">
            <v>1924</v>
          </cell>
        </row>
        <row r="25">
          <cell r="C25"/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ccounts"/>
    </sheetNames>
    <sheetDataSet>
      <sheetData sheetId="0">
        <row r="13">
          <cell r="C13" t="str">
            <v>Stanstead Airport, UK</v>
          </cell>
        </row>
        <row r="14">
          <cell r="C14">
            <v>1988</v>
          </cell>
        </row>
        <row r="16">
          <cell r="C16">
            <v>16</v>
          </cell>
        </row>
        <row r="17">
          <cell r="C17">
            <v>14.4</v>
          </cell>
        </row>
        <row r="18">
          <cell r="C18">
            <v>0</v>
          </cell>
        </row>
        <row r="20">
          <cell r="C20" t="str">
            <v>FY21/22</v>
          </cell>
          <cell r="D20">
            <v>45141</v>
          </cell>
        </row>
      </sheetData>
      <sheetData sheetId="1">
        <row r="18">
          <cell r="L18">
            <v>3.7691802910883844E-2</v>
          </cell>
        </row>
        <row r="19">
          <cell r="L19">
            <v>-7.2462158441842464E-2</v>
          </cell>
        </row>
        <row r="20">
          <cell r="L20">
            <v>-8.0967153446236284E-2</v>
          </cell>
        </row>
        <row r="21">
          <cell r="K21">
            <v>0.18785583230649008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$RYAAY.xlsx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11" Type="http://schemas.openxmlformats.org/officeDocument/2006/relationships/hyperlink" Target="$DAL.xlsx" TargetMode="External"/><Relationship Id="rId5" Type="http://schemas.openxmlformats.org/officeDocument/2006/relationships/hyperlink" Target="$ALK.xlsx" TargetMode="External"/><Relationship Id="rId10" Type="http://schemas.openxmlformats.org/officeDocument/2006/relationships/hyperlink" Target="Private%20Equity\Hagondale%20Ltd.%20(Titan%20Airways).xlsx" TargetMode="External"/><Relationship Id="rId4" Type="http://schemas.openxmlformats.org/officeDocument/2006/relationships/hyperlink" Target="&#163;IAG.xlsx" TargetMode="External"/><Relationship Id="rId9" Type="http://schemas.openxmlformats.org/officeDocument/2006/relationships/hyperlink" Target="https://www.airfleets.net/ageflotte/fleet-age.htm" TargetMode="External"/><Relationship Id="rId1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Private%20Equity\Hagondale%20Ltd.%20(Titan%20Airways).xlsx" TargetMode="External"/><Relationship Id="rId1" Type="http://schemas.openxmlformats.org/officeDocument/2006/relationships/hyperlink" Target="https://en.wikipedia.org/wiki/Titan_Airw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topLeftCell="A43" workbookViewId="0">
      <selection activeCell="B6" sqref="B6:L6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defaultColWidth="11" defaultRowHeight="15.75" x14ac:dyDescent="0.25"/>
  <cols>
    <col min="1" max="1" width="10.875" style="20"/>
    <col min="2" max="2" width="53.375" bestFit="1" customWidth="1"/>
  </cols>
  <sheetData>
    <row r="1" spans="1:14" ht="16.5" x14ac:dyDescent="0.25">
      <c r="A1" s="3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436</v>
      </c>
      <c r="B2" s="6" t="s">
        <v>437</v>
      </c>
      <c r="C2" s="6" t="s">
        <v>164</v>
      </c>
      <c r="D2" s="6" t="s">
        <v>438</v>
      </c>
      <c r="E2" s="7" t="s">
        <v>439</v>
      </c>
      <c r="F2" s="7" t="s">
        <v>440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441</v>
      </c>
      <c r="N2" s="9">
        <v>1.1000000000000001E-3</v>
      </c>
    </row>
    <row r="3" spans="1:14" ht="16.5" x14ac:dyDescent="0.25">
      <c r="A3" s="19" t="s">
        <v>442</v>
      </c>
      <c r="B3" s="6" t="s">
        <v>443</v>
      </c>
      <c r="C3" s="6" t="s">
        <v>84</v>
      </c>
      <c r="D3" s="6" t="s">
        <v>438</v>
      </c>
      <c r="E3" s="7" t="s">
        <v>444</v>
      </c>
      <c r="F3" s="7" t="s">
        <v>445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446</v>
      </c>
      <c r="N3" s="11">
        <v>-0.11940000000000001</v>
      </c>
    </row>
    <row r="4" spans="1:14" ht="16.5" x14ac:dyDescent="0.25">
      <c r="A4" s="19" t="s">
        <v>447</v>
      </c>
      <c r="B4" s="6" t="s">
        <v>448</v>
      </c>
      <c r="C4" s="6" t="s">
        <v>76</v>
      </c>
      <c r="D4" s="6" t="s">
        <v>438</v>
      </c>
      <c r="E4" s="7" t="s">
        <v>449</v>
      </c>
      <c r="F4" s="7" t="s">
        <v>450</v>
      </c>
      <c r="G4" s="6" t="s">
        <v>67</v>
      </c>
      <c r="H4" s="8">
        <v>16.829999999999998</v>
      </c>
      <c r="I4" s="8">
        <v>4.22</v>
      </c>
      <c r="J4" s="8" t="s">
        <v>451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6.5" x14ac:dyDescent="0.25">
      <c r="A5" s="19" t="s">
        <v>452</v>
      </c>
      <c r="B5" s="6" t="s">
        <v>453</v>
      </c>
      <c r="C5" s="6" t="s">
        <v>42</v>
      </c>
      <c r="D5" s="6" t="s">
        <v>438</v>
      </c>
      <c r="E5" s="7" t="s">
        <v>454</v>
      </c>
      <c r="F5" s="7" t="s">
        <v>455</v>
      </c>
      <c r="G5" s="7">
        <v>7.14</v>
      </c>
      <c r="H5" s="8">
        <v>13.01</v>
      </c>
      <c r="I5" s="8">
        <v>3.5</v>
      </c>
      <c r="J5" s="7" t="s">
        <v>456</v>
      </c>
      <c r="K5" s="9">
        <v>1</v>
      </c>
      <c r="L5" s="6" t="s">
        <v>67</v>
      </c>
      <c r="M5" s="6" t="s">
        <v>457</v>
      </c>
      <c r="N5" s="9">
        <v>3.2800000000000003E-2</v>
      </c>
    </row>
    <row r="6" spans="1:14" ht="16.5" x14ac:dyDescent="0.25">
      <c r="A6" s="19" t="s">
        <v>458</v>
      </c>
      <c r="B6" s="6" t="s">
        <v>459</v>
      </c>
      <c r="C6" s="6" t="s">
        <v>42</v>
      </c>
      <c r="D6" s="6" t="s">
        <v>438</v>
      </c>
      <c r="E6" s="7" t="s">
        <v>460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461</v>
      </c>
      <c r="K6" s="13">
        <v>0.17630000000000001</v>
      </c>
      <c r="L6" s="6" t="s">
        <v>67</v>
      </c>
      <c r="M6" s="6" t="s">
        <v>462</v>
      </c>
      <c r="N6" s="9">
        <v>4.6100000000000002E-2</v>
      </c>
    </row>
    <row r="7" spans="1:14" ht="16.5" x14ac:dyDescent="0.25">
      <c r="A7" s="19" t="s">
        <v>463</v>
      </c>
      <c r="B7" s="6" t="s">
        <v>464</v>
      </c>
      <c r="C7" s="6" t="s">
        <v>164</v>
      </c>
      <c r="D7" s="6" t="s">
        <v>438</v>
      </c>
      <c r="E7" s="7" t="s">
        <v>465</v>
      </c>
      <c r="F7" s="15" t="s">
        <v>466</v>
      </c>
      <c r="G7" s="8">
        <v>138.6</v>
      </c>
      <c r="H7" s="8">
        <v>88.1</v>
      </c>
      <c r="I7" s="7">
        <v>0.25</v>
      </c>
      <c r="J7" s="7" t="s">
        <v>467</v>
      </c>
      <c r="K7" s="13">
        <v>0.21</v>
      </c>
      <c r="L7" s="6" t="s">
        <v>67</v>
      </c>
      <c r="M7" s="6" t="s">
        <v>468</v>
      </c>
      <c r="N7" s="9">
        <v>5.7999999999999996E-3</v>
      </c>
    </row>
    <row r="8" spans="1:14" ht="16.5" x14ac:dyDescent="0.25">
      <c r="A8" s="19" t="s">
        <v>469</v>
      </c>
      <c r="B8" s="6" t="s">
        <v>470</v>
      </c>
      <c r="C8" s="6" t="s">
        <v>42</v>
      </c>
      <c r="D8" s="6" t="s">
        <v>438</v>
      </c>
      <c r="E8" s="7" t="s">
        <v>471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472</v>
      </c>
      <c r="K8" s="13">
        <v>0.22090000000000001</v>
      </c>
      <c r="L8" s="6" t="s">
        <v>67</v>
      </c>
      <c r="M8" s="6" t="s">
        <v>473</v>
      </c>
      <c r="N8" s="9">
        <v>2.46E-2</v>
      </c>
    </row>
    <row r="9" spans="1:14" ht="16.5" x14ac:dyDescent="0.25">
      <c r="A9" s="19" t="s">
        <v>474</v>
      </c>
      <c r="B9" s="6" t="s">
        <v>475</v>
      </c>
      <c r="C9" s="6" t="s">
        <v>84</v>
      </c>
      <c r="D9" s="6" t="s">
        <v>438</v>
      </c>
      <c r="E9" s="7" t="s">
        <v>476</v>
      </c>
      <c r="F9" s="15" t="s">
        <v>466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477</v>
      </c>
      <c r="N9" s="11">
        <v>-1.5599999999999999E-2</v>
      </c>
    </row>
    <row r="10" spans="1:14" ht="16.5" x14ac:dyDescent="0.25">
      <c r="A10" s="19">
        <v>2588</v>
      </c>
      <c r="B10" s="6" t="s">
        <v>478</v>
      </c>
      <c r="C10" s="6" t="s">
        <v>89</v>
      </c>
      <c r="D10" s="6" t="s">
        <v>438</v>
      </c>
      <c r="E10" s="7" t="s">
        <v>479</v>
      </c>
      <c r="F10" s="7" t="s">
        <v>480</v>
      </c>
      <c r="G10" s="7">
        <v>9.24</v>
      </c>
      <c r="H10" s="8">
        <v>16.79</v>
      </c>
      <c r="I10" s="8">
        <v>3.53</v>
      </c>
      <c r="J10" s="15" t="s">
        <v>481</v>
      </c>
      <c r="K10" s="9">
        <v>0.91400000000000003</v>
      </c>
      <c r="L10" s="10">
        <v>44791</v>
      </c>
      <c r="M10" s="6" t="s">
        <v>482</v>
      </c>
      <c r="N10" s="9">
        <v>4.1599999999999998E-2</v>
      </c>
    </row>
    <row r="11" spans="1:14" ht="16.5" x14ac:dyDescent="0.25">
      <c r="A11" s="19" t="s">
        <v>483</v>
      </c>
      <c r="B11" s="6" t="s">
        <v>484</v>
      </c>
      <c r="C11" s="6" t="s">
        <v>84</v>
      </c>
      <c r="D11" s="6" t="s">
        <v>438</v>
      </c>
      <c r="E11" s="7" t="s">
        <v>485</v>
      </c>
      <c r="F11" s="7" t="s">
        <v>486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487</v>
      </c>
      <c r="N11" s="9">
        <v>8.3999999999999995E-3</v>
      </c>
    </row>
    <row r="12" spans="1:14" ht="16.5" x14ac:dyDescent="0.25">
      <c r="A12" s="19" t="s">
        <v>488</v>
      </c>
      <c r="B12" s="6" t="s">
        <v>489</v>
      </c>
      <c r="C12" s="6" t="s">
        <v>72</v>
      </c>
      <c r="D12" s="6" t="s">
        <v>438</v>
      </c>
      <c r="E12" s="7" t="s">
        <v>490</v>
      </c>
      <c r="F12" s="7" t="s">
        <v>491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492</v>
      </c>
      <c r="N12" s="9">
        <v>5.0000000000000001E-4</v>
      </c>
    </row>
    <row r="13" spans="1:14" ht="16.5" x14ac:dyDescent="0.25">
      <c r="A13" s="19" t="s">
        <v>493</v>
      </c>
      <c r="B13" s="6" t="s">
        <v>494</v>
      </c>
      <c r="C13" s="6" t="s">
        <v>65</v>
      </c>
      <c r="D13" s="6" t="s">
        <v>438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495</v>
      </c>
      <c r="K13" s="11">
        <v>9.4200000000000006E-2</v>
      </c>
      <c r="L13" s="6" t="s">
        <v>67</v>
      </c>
      <c r="M13" s="6" t="s">
        <v>496</v>
      </c>
      <c r="N13" s="9">
        <v>1.5299999999999999E-2</v>
      </c>
    </row>
    <row r="14" spans="1:14" ht="16.5" x14ac:dyDescent="0.25">
      <c r="A14" s="19" t="s">
        <v>497</v>
      </c>
      <c r="B14" s="6" t="s">
        <v>498</v>
      </c>
      <c r="C14" s="6" t="s">
        <v>65</v>
      </c>
      <c r="D14" s="6" t="s">
        <v>438</v>
      </c>
      <c r="E14" s="7" t="s">
        <v>209</v>
      </c>
      <c r="F14" s="7" t="s">
        <v>499</v>
      </c>
      <c r="G14" s="7">
        <v>7.1</v>
      </c>
      <c r="H14" s="7">
        <v>4.3600000000000003</v>
      </c>
      <c r="I14" s="8">
        <v>1.29</v>
      </c>
      <c r="J14" s="7" t="s">
        <v>500</v>
      </c>
      <c r="K14" s="9">
        <v>1</v>
      </c>
      <c r="L14" s="6" t="s">
        <v>67</v>
      </c>
      <c r="M14" s="6" t="s">
        <v>501</v>
      </c>
      <c r="N14" s="9">
        <v>1.9E-3</v>
      </c>
    </row>
    <row r="15" spans="1:14" ht="16.5" x14ac:dyDescent="0.25">
      <c r="A15" s="19" t="s">
        <v>502</v>
      </c>
      <c r="B15" s="6" t="s">
        <v>503</v>
      </c>
      <c r="C15" s="6" t="s">
        <v>84</v>
      </c>
      <c r="D15" s="6" t="s">
        <v>438</v>
      </c>
      <c r="E15" s="7" t="s">
        <v>213</v>
      </c>
      <c r="F15" s="8" t="s">
        <v>504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505</v>
      </c>
      <c r="N15" s="9">
        <v>0.1346</v>
      </c>
    </row>
    <row r="16" spans="1:14" ht="16.5" x14ac:dyDescent="0.25">
      <c r="A16" s="19">
        <v>694</v>
      </c>
      <c r="B16" s="6" t="s">
        <v>506</v>
      </c>
      <c r="C16" s="6" t="s">
        <v>89</v>
      </c>
      <c r="D16" s="6" t="s">
        <v>438</v>
      </c>
      <c r="E16" s="7" t="s">
        <v>507</v>
      </c>
      <c r="F16" s="8" t="s">
        <v>504</v>
      </c>
      <c r="G16" s="7">
        <v>7.55</v>
      </c>
      <c r="H16" s="6" t="s">
        <v>67</v>
      </c>
      <c r="I16" s="15">
        <v>0.74</v>
      </c>
      <c r="J16" s="7" t="s">
        <v>508</v>
      </c>
      <c r="K16" s="9">
        <v>0.71799999999999997</v>
      </c>
      <c r="L16" s="10">
        <v>44803</v>
      </c>
      <c r="M16" s="6" t="s">
        <v>509</v>
      </c>
      <c r="N16" s="9">
        <v>6.4199999999999993E-2</v>
      </c>
    </row>
    <row r="17" spans="1:14" ht="16.5" x14ac:dyDescent="0.25">
      <c r="A17" s="19" t="s">
        <v>510</v>
      </c>
      <c r="B17" s="6" t="s">
        <v>511</v>
      </c>
      <c r="C17" s="6" t="s">
        <v>65</v>
      </c>
      <c r="D17" s="6" t="s">
        <v>438</v>
      </c>
      <c r="E17" s="7" t="s">
        <v>512</v>
      </c>
      <c r="F17" s="7" t="s">
        <v>513</v>
      </c>
      <c r="G17" s="7">
        <v>9.92</v>
      </c>
      <c r="H17" s="7">
        <v>5.58</v>
      </c>
      <c r="I17" s="8">
        <v>1.47</v>
      </c>
      <c r="J17" s="15" t="s">
        <v>514</v>
      </c>
      <c r="K17" s="9">
        <v>0.99850000000000005</v>
      </c>
      <c r="L17" s="6" t="s">
        <v>67</v>
      </c>
      <c r="M17" s="6" t="s">
        <v>515</v>
      </c>
      <c r="N17" s="9">
        <v>3.1099999999999999E-2</v>
      </c>
    </row>
    <row r="18" spans="1:14" ht="16.5" x14ac:dyDescent="0.25">
      <c r="A18" s="19" t="s">
        <v>516</v>
      </c>
      <c r="B18" s="6" t="s">
        <v>517</v>
      </c>
      <c r="C18" s="6" t="s">
        <v>42</v>
      </c>
      <c r="D18" s="6" t="s">
        <v>438</v>
      </c>
      <c r="E18" s="15" t="s">
        <v>518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519</v>
      </c>
      <c r="K18" s="13">
        <v>0.1188</v>
      </c>
      <c r="L18" s="37">
        <v>44882</v>
      </c>
      <c r="M18" s="6" t="s">
        <v>520</v>
      </c>
      <c r="N18" s="11">
        <v>-8.5000000000000006E-3</v>
      </c>
    </row>
    <row r="19" spans="1:14" ht="16.5" x14ac:dyDescent="0.25">
      <c r="A19" s="19">
        <v>357</v>
      </c>
      <c r="B19" s="6" t="s">
        <v>521</v>
      </c>
      <c r="C19" s="6" t="s">
        <v>89</v>
      </c>
      <c r="D19" s="6" t="s">
        <v>438</v>
      </c>
      <c r="E19" s="15" t="s">
        <v>522</v>
      </c>
      <c r="F19" s="7" t="s">
        <v>523</v>
      </c>
      <c r="G19" s="7">
        <v>11</v>
      </c>
      <c r="H19" s="15">
        <v>9.8699999999999992</v>
      </c>
      <c r="I19" s="8">
        <v>1.46</v>
      </c>
      <c r="J19" s="7" t="s">
        <v>524</v>
      </c>
      <c r="K19" s="9">
        <v>0.58440000000000003</v>
      </c>
      <c r="L19" s="10">
        <v>44799</v>
      </c>
      <c r="M19" s="6" t="s">
        <v>525</v>
      </c>
      <c r="N19" s="9">
        <v>6.8400000000000002E-2</v>
      </c>
    </row>
    <row r="20" spans="1:14" ht="16.5" x14ac:dyDescent="0.25">
      <c r="A20" s="19" t="s">
        <v>526</v>
      </c>
      <c r="B20" s="6" t="s">
        <v>527</v>
      </c>
      <c r="C20" s="6" t="s">
        <v>65</v>
      </c>
      <c r="D20" s="6" t="s">
        <v>438</v>
      </c>
      <c r="E20" s="15" t="s">
        <v>528</v>
      </c>
      <c r="F20" s="15" t="s">
        <v>529</v>
      </c>
      <c r="G20" s="7">
        <v>18.05</v>
      </c>
      <c r="H20" s="8">
        <v>15.01</v>
      </c>
      <c r="I20" s="7">
        <v>0.19</v>
      </c>
      <c r="J20" s="15" t="s">
        <v>530</v>
      </c>
      <c r="K20" s="9">
        <v>0.65839999999999999</v>
      </c>
      <c r="L20" s="37">
        <v>44873</v>
      </c>
      <c r="M20" s="6" t="s">
        <v>531</v>
      </c>
      <c r="N20" s="9">
        <v>5.3E-3</v>
      </c>
    </row>
    <row r="21" spans="1:14" ht="16.5" x14ac:dyDescent="0.25">
      <c r="A21" s="19" t="s">
        <v>532</v>
      </c>
      <c r="B21" s="6" t="s">
        <v>533</v>
      </c>
      <c r="C21" s="6" t="s">
        <v>42</v>
      </c>
      <c r="D21" s="6" t="s">
        <v>438</v>
      </c>
      <c r="E21" s="8" t="s">
        <v>534</v>
      </c>
      <c r="F21" s="8" t="s">
        <v>535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536</v>
      </c>
      <c r="N21" s="9">
        <v>0</v>
      </c>
    </row>
    <row r="22" spans="1:14" ht="16.5" x14ac:dyDescent="0.25">
      <c r="A22" s="19">
        <v>1848</v>
      </c>
      <c r="B22" s="6" t="s">
        <v>537</v>
      </c>
      <c r="C22" s="6" t="s">
        <v>89</v>
      </c>
      <c r="D22" s="6" t="s">
        <v>438</v>
      </c>
      <c r="E22" s="8" t="s">
        <v>538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539</v>
      </c>
      <c r="K22" s="13">
        <v>0.4017</v>
      </c>
      <c r="L22" s="10">
        <v>44862</v>
      </c>
      <c r="M22" s="6" t="s">
        <v>540</v>
      </c>
      <c r="N22" s="11">
        <v>-6.3E-3</v>
      </c>
    </row>
    <row r="23" spans="1:14" ht="16.5" x14ac:dyDescent="0.25">
      <c r="A23" s="19" t="s">
        <v>541</v>
      </c>
      <c r="B23" s="6" t="s">
        <v>542</v>
      </c>
      <c r="C23" s="6" t="s">
        <v>42</v>
      </c>
      <c r="D23" s="6" t="s">
        <v>438</v>
      </c>
      <c r="E23" s="8" t="s">
        <v>543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544</v>
      </c>
      <c r="K23" s="11">
        <v>0</v>
      </c>
      <c r="L23" s="6" t="s">
        <v>67</v>
      </c>
      <c r="M23" s="6" t="s">
        <v>545</v>
      </c>
      <c r="N23" s="11">
        <v>-0.16120000000000001</v>
      </c>
    </row>
    <row r="24" spans="1:14" ht="16.5" x14ac:dyDescent="0.25">
      <c r="A24" s="19" t="s">
        <v>546</v>
      </c>
      <c r="B24" s="6" t="s">
        <v>547</v>
      </c>
      <c r="C24" s="6" t="s">
        <v>72</v>
      </c>
      <c r="D24" s="6" t="s">
        <v>438</v>
      </c>
      <c r="E24" s="8" t="s">
        <v>548</v>
      </c>
      <c r="F24" s="8" t="s">
        <v>549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550</v>
      </c>
      <c r="N24" s="9">
        <v>0</v>
      </c>
    </row>
    <row r="25" spans="1:14" ht="16.5" x14ac:dyDescent="0.25">
      <c r="A25" s="19" t="s">
        <v>551</v>
      </c>
      <c r="B25" s="6" t="s">
        <v>552</v>
      </c>
      <c r="C25" s="6" t="s">
        <v>72</v>
      </c>
      <c r="D25" s="6" t="s">
        <v>438</v>
      </c>
      <c r="E25" s="8" t="s">
        <v>553</v>
      </c>
      <c r="F25" s="15" t="s">
        <v>554</v>
      </c>
      <c r="G25" s="6" t="s">
        <v>67</v>
      </c>
      <c r="H25" s="15">
        <v>9.7899999999999991</v>
      </c>
      <c r="I25" s="8">
        <v>4.3600000000000003</v>
      </c>
      <c r="J25" s="8" t="s">
        <v>555</v>
      </c>
      <c r="K25" s="13">
        <v>0.48430000000000001</v>
      </c>
      <c r="L25" s="10">
        <v>44833</v>
      </c>
      <c r="M25" s="6" t="s">
        <v>556</v>
      </c>
      <c r="N25" s="9">
        <v>3.0999999999999999E-3</v>
      </c>
    </row>
    <row r="26" spans="1:14" ht="16.5" x14ac:dyDescent="0.25">
      <c r="A26" s="19" t="s">
        <v>557</v>
      </c>
      <c r="B26" s="6" t="s">
        <v>558</v>
      </c>
      <c r="C26" s="6" t="s">
        <v>149</v>
      </c>
      <c r="D26" s="6" t="s">
        <v>438</v>
      </c>
      <c r="E26" s="8" t="s">
        <v>559</v>
      </c>
      <c r="F26" s="7" t="s">
        <v>560</v>
      </c>
      <c r="G26" s="8">
        <v>30.08</v>
      </c>
      <c r="H26" s="8">
        <v>16.34</v>
      </c>
      <c r="I26" s="8">
        <v>0.9</v>
      </c>
      <c r="J26" s="8" t="s">
        <v>561</v>
      </c>
      <c r="K26" s="11">
        <v>0</v>
      </c>
      <c r="L26" s="6" t="s">
        <v>67</v>
      </c>
      <c r="M26" s="6" t="s">
        <v>562</v>
      </c>
      <c r="N26" s="9">
        <v>1.2E-2</v>
      </c>
    </row>
    <row r="27" spans="1:14" ht="16.5" x14ac:dyDescent="0.25">
      <c r="A27" s="19" t="s">
        <v>563</v>
      </c>
      <c r="B27" s="6" t="s">
        <v>564</v>
      </c>
      <c r="C27" s="6" t="s">
        <v>140</v>
      </c>
      <c r="D27" s="6" t="s">
        <v>438</v>
      </c>
      <c r="E27" s="8" t="s">
        <v>565</v>
      </c>
      <c r="F27" s="7" t="s">
        <v>566</v>
      </c>
      <c r="G27" s="7">
        <v>0.21</v>
      </c>
      <c r="H27" s="8">
        <v>124.51</v>
      </c>
      <c r="I27" s="7">
        <v>-3.82</v>
      </c>
      <c r="J27" s="7" t="s">
        <v>567</v>
      </c>
      <c r="K27" s="11">
        <v>2.7000000000000001E-3</v>
      </c>
      <c r="L27" s="10">
        <v>44785</v>
      </c>
      <c r="M27" s="6" t="s">
        <v>568</v>
      </c>
      <c r="N27" s="9">
        <v>3.5700000000000003E-2</v>
      </c>
    </row>
    <row r="28" spans="1:14" ht="16.5" x14ac:dyDescent="0.25">
      <c r="A28" s="19" t="s">
        <v>563</v>
      </c>
      <c r="B28" s="6" t="s">
        <v>564</v>
      </c>
      <c r="C28" s="6" t="s">
        <v>149</v>
      </c>
      <c r="D28" s="6" t="s">
        <v>438</v>
      </c>
      <c r="E28" s="8" t="s">
        <v>569</v>
      </c>
      <c r="F28" s="7" t="s">
        <v>570</v>
      </c>
      <c r="G28" s="6" t="s">
        <v>67</v>
      </c>
      <c r="H28" s="7">
        <v>0.08</v>
      </c>
      <c r="I28" s="8">
        <v>971.61</v>
      </c>
      <c r="J28" s="7" t="s">
        <v>571</v>
      </c>
      <c r="K28" s="11">
        <v>3.5900000000000001E-2</v>
      </c>
      <c r="L28" s="6" t="s">
        <v>67</v>
      </c>
      <c r="M28" s="6" t="s">
        <v>572</v>
      </c>
      <c r="N28" s="9">
        <v>2.8500000000000001E-2</v>
      </c>
    </row>
    <row r="29" spans="1:14" ht="16.5" x14ac:dyDescent="0.25">
      <c r="A29" s="19" t="s">
        <v>573</v>
      </c>
      <c r="B29" s="6" t="s">
        <v>574</v>
      </c>
      <c r="C29" s="6" t="s">
        <v>72</v>
      </c>
      <c r="D29" s="6" t="s">
        <v>438</v>
      </c>
      <c r="E29" s="8" t="s">
        <v>575</v>
      </c>
      <c r="F29" s="8" t="s">
        <v>576</v>
      </c>
      <c r="G29" s="6" t="s">
        <v>67</v>
      </c>
      <c r="H29" s="8">
        <v>35.93</v>
      </c>
      <c r="I29" s="8">
        <v>3.53</v>
      </c>
      <c r="J29" s="8" t="s">
        <v>577</v>
      </c>
      <c r="K29" s="11">
        <v>5.7099999999999998E-2</v>
      </c>
      <c r="L29" s="10">
        <v>44832</v>
      </c>
      <c r="M29" s="6" t="s">
        <v>578</v>
      </c>
      <c r="N29" s="11">
        <v>-3.8800000000000001E-2</v>
      </c>
    </row>
    <row r="30" spans="1:14" ht="16.5" x14ac:dyDescent="0.25">
      <c r="A30" s="19">
        <v>8620</v>
      </c>
      <c r="B30" s="6" t="s">
        <v>579</v>
      </c>
      <c r="C30" s="6" t="s">
        <v>89</v>
      </c>
      <c r="D30" s="6" t="s">
        <v>438</v>
      </c>
      <c r="E30" s="8" t="s">
        <v>580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581</v>
      </c>
      <c r="K30" s="11">
        <v>0</v>
      </c>
      <c r="L30" s="10">
        <v>44785</v>
      </c>
      <c r="M30" s="6" t="s">
        <v>582</v>
      </c>
      <c r="N30" s="11">
        <v>-4.4900000000000002E-2</v>
      </c>
    </row>
    <row r="31" spans="1:14" ht="16.5" x14ac:dyDescent="0.25">
      <c r="A31" s="19" t="s">
        <v>583</v>
      </c>
      <c r="B31" s="6" t="s">
        <v>584</v>
      </c>
      <c r="C31" s="6" t="s">
        <v>140</v>
      </c>
      <c r="D31" s="6" t="s">
        <v>438</v>
      </c>
      <c r="E31" s="8" t="s">
        <v>585</v>
      </c>
      <c r="F31" s="7" t="s">
        <v>586</v>
      </c>
      <c r="G31" s="6" t="s">
        <v>67</v>
      </c>
      <c r="H31" s="7">
        <v>7.09</v>
      </c>
      <c r="I31" s="8">
        <v>15.56</v>
      </c>
      <c r="J31" s="8" t="s">
        <v>587</v>
      </c>
      <c r="K31" s="11">
        <v>0</v>
      </c>
      <c r="L31" s="37">
        <v>44874</v>
      </c>
      <c r="M31" s="6" t="s">
        <v>588</v>
      </c>
      <c r="N31" s="9">
        <v>2.63E-2</v>
      </c>
    </row>
    <row r="32" spans="1:14" ht="16.5" x14ac:dyDescent="0.25">
      <c r="A32" s="19" t="s">
        <v>583</v>
      </c>
      <c r="B32" s="6" t="s">
        <v>584</v>
      </c>
      <c r="C32" s="6" t="s">
        <v>149</v>
      </c>
      <c r="D32" s="6" t="s">
        <v>438</v>
      </c>
      <c r="E32" s="8" t="s">
        <v>589</v>
      </c>
      <c r="F32" s="7" t="s">
        <v>590</v>
      </c>
      <c r="G32" s="6" t="s">
        <v>67</v>
      </c>
      <c r="H32" s="7">
        <v>4.92</v>
      </c>
      <c r="I32" s="8">
        <v>9.19</v>
      </c>
      <c r="J32" s="8" t="s">
        <v>591</v>
      </c>
      <c r="K32" s="11">
        <v>0</v>
      </c>
      <c r="L32" s="6" t="s">
        <v>67</v>
      </c>
      <c r="M32" s="6" t="s">
        <v>592</v>
      </c>
      <c r="N32" s="9">
        <v>2.3699999999999999E-2</v>
      </c>
    </row>
    <row r="33" spans="1:14" ht="16.5" x14ac:dyDescent="0.25">
      <c r="A33" s="19" t="s">
        <v>593</v>
      </c>
      <c r="B33" s="6" t="s">
        <v>594</v>
      </c>
      <c r="C33" s="6" t="s">
        <v>76</v>
      </c>
      <c r="D33" s="6" t="s">
        <v>438</v>
      </c>
      <c r="E33" s="8" t="s">
        <v>595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6.5" x14ac:dyDescent="0.25">
      <c r="A34" s="19" t="s">
        <v>596</v>
      </c>
      <c r="B34" s="6" t="s">
        <v>597</v>
      </c>
      <c r="C34" s="6" t="s">
        <v>355</v>
      </c>
      <c r="D34" s="6" t="s">
        <v>438</v>
      </c>
      <c r="E34" s="8" t="s">
        <v>598</v>
      </c>
      <c r="F34" s="8" t="s">
        <v>599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600</v>
      </c>
      <c r="N34" s="11">
        <v>-1.8599999999999998E-2</v>
      </c>
    </row>
    <row r="35" spans="1:14" ht="16.5" x14ac:dyDescent="0.25">
      <c r="A35" s="19" t="s">
        <v>601</v>
      </c>
      <c r="B35" s="6" t="s">
        <v>602</v>
      </c>
      <c r="C35" s="6" t="s">
        <v>84</v>
      </c>
      <c r="D35" s="6" t="s">
        <v>438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603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AD4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0" sqref="B9:U20"/>
    </sheetView>
  </sheetViews>
  <sheetFormatPr defaultColWidth="8.875" defaultRowHeight="12.75" x14ac:dyDescent="0.2"/>
  <cols>
    <col min="1" max="1" width="3.625" style="1" customWidth="1"/>
    <col min="2" max="2" width="11.875" style="1" bestFit="1" customWidth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8" width="8.875" style="1"/>
    <col min="19" max="19" width="10.375" style="4" bestFit="1" customWidth="1"/>
    <col min="20" max="20" width="13.375" style="4" bestFit="1" customWidth="1"/>
    <col min="21" max="21" width="14" style="1" bestFit="1" customWidth="1"/>
    <col min="22" max="22" width="9.875" style="1" bestFit="1" customWidth="1"/>
    <col min="23" max="23" width="9.875" style="1" customWidth="1"/>
    <col min="24" max="25" width="8.875" style="1"/>
    <col min="26" max="27" width="8.875" style="4"/>
    <col min="28" max="28" width="8.875" style="1"/>
    <col min="29" max="29" width="16.875" style="1" bestFit="1" customWidth="1"/>
    <col min="30" max="16384" width="8.875" style="1"/>
  </cols>
  <sheetData>
    <row r="1" spans="2:30" x14ac:dyDescent="0.2">
      <c r="D1" s="1"/>
      <c r="F1" s="53" t="s">
        <v>628</v>
      </c>
      <c r="G1" s="53"/>
      <c r="H1" s="53"/>
      <c r="I1" s="53"/>
      <c r="J1" s="53"/>
      <c r="S1" s="1"/>
      <c r="T1" s="1"/>
      <c r="W1" s="43">
        <f>AVERAGE(W3:W10)</f>
        <v>10.144047619047617</v>
      </c>
      <c r="X1" s="39">
        <f>AVERAGE(X4:X10)</f>
        <v>1.3082569747231938</v>
      </c>
    </row>
    <row r="2" spans="2:30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399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624</v>
      </c>
      <c r="N2" s="3" t="s">
        <v>625</v>
      </c>
      <c r="O2" s="3" t="s">
        <v>626</v>
      </c>
      <c r="P2" s="3" t="s">
        <v>612</v>
      </c>
      <c r="Q2" s="3" t="s">
        <v>611</v>
      </c>
      <c r="R2" s="3" t="s">
        <v>610</v>
      </c>
      <c r="S2" s="2" t="s">
        <v>406</v>
      </c>
      <c r="T2" s="3" t="s">
        <v>23</v>
      </c>
      <c r="U2" s="3" t="s">
        <v>26</v>
      </c>
      <c r="V2" s="3" t="s">
        <v>433</v>
      </c>
      <c r="W2" s="3" t="s">
        <v>607</v>
      </c>
      <c r="X2" s="3" t="s">
        <v>424</v>
      </c>
      <c r="Z2" s="3" t="s">
        <v>425</v>
      </c>
      <c r="AA2" s="3" t="s">
        <v>426</v>
      </c>
      <c r="AB2" s="3" t="s">
        <v>402</v>
      </c>
      <c r="AC2" s="3" t="s">
        <v>432</v>
      </c>
      <c r="AD2" s="3" t="s">
        <v>606</v>
      </c>
    </row>
    <row r="3" spans="2:30" x14ac:dyDescent="0.2">
      <c r="B3" s="25" t="s">
        <v>384</v>
      </c>
      <c r="C3" s="1" t="s">
        <v>64</v>
      </c>
      <c r="D3" s="4" t="s">
        <v>65</v>
      </c>
      <c r="E3" s="4" t="s">
        <v>383</v>
      </c>
      <c r="F3" s="28">
        <f>[1]Main!$C$6*H33</f>
        <v>58.001999999999995</v>
      </c>
      <c r="G3" s="26">
        <f>[1]Main!$C$7</f>
        <v>227.43</v>
      </c>
      <c r="H3" s="26">
        <f>[1]Main!$C$12*H33</f>
        <v>13191.394859999999</v>
      </c>
      <c r="I3" s="40">
        <f>[1]Main!$C$11*H33</f>
        <v>0</v>
      </c>
      <c r="J3" s="26">
        <f>[1]Main!$C$12*H33</f>
        <v>13191.394859999999</v>
      </c>
      <c r="K3" s="1" t="s">
        <v>394</v>
      </c>
      <c r="L3" s="4"/>
      <c r="M3" s="4"/>
      <c r="N3" s="4"/>
      <c r="O3" s="4"/>
      <c r="P3" s="4"/>
      <c r="Q3" s="4"/>
      <c r="W3" s="41">
        <f>AVERAGE(12.8,4.6,11.7)</f>
        <v>9.6999999999999993</v>
      </c>
      <c r="X3" s="4"/>
      <c r="AB3" s="4">
        <f>[1]Main!$C$31</f>
        <v>1984</v>
      </c>
      <c r="AC3" s="4" t="str">
        <f>[1]Main!$C$30</f>
        <v>Dublin, Ireland</v>
      </c>
      <c r="AD3" s="4">
        <f>[1]Main!$C$32</f>
        <v>1997</v>
      </c>
    </row>
    <row r="4" spans="2:30" x14ac:dyDescent="0.2">
      <c r="B4" s="25" t="s">
        <v>429</v>
      </c>
      <c r="C4" s="1" t="s">
        <v>427</v>
      </c>
      <c r="D4" s="4" t="s">
        <v>42</v>
      </c>
      <c r="E4" s="4" t="s">
        <v>430</v>
      </c>
      <c r="F4" s="28">
        <f>[2]Main!$C$6*H36</f>
        <v>19.570099999999996</v>
      </c>
      <c r="G4" s="26">
        <f>[2]Main!$C$7</f>
        <v>385.26</v>
      </c>
      <c r="H4" s="26">
        <f>[2]Main!$C$8*H36</f>
        <v>7539.5767259999993</v>
      </c>
      <c r="I4" s="26">
        <f>[2]Main!$C$11*H36</f>
        <v>0</v>
      </c>
      <c r="J4" s="26">
        <f>[2]Main!$C$12*H36</f>
        <v>7539.5767259999993</v>
      </c>
      <c r="K4" s="1" t="s">
        <v>428</v>
      </c>
      <c r="L4" s="4"/>
      <c r="M4" s="4"/>
      <c r="N4" s="4"/>
      <c r="O4" s="4"/>
      <c r="P4" s="4"/>
      <c r="Q4" s="4"/>
      <c r="U4" s="4"/>
      <c r="W4" s="4">
        <v>10.7</v>
      </c>
      <c r="X4" s="4"/>
      <c r="AB4" s="4">
        <f>[2]Main!$C$25</f>
        <v>2005</v>
      </c>
      <c r="AC4" s="4" t="str">
        <f>[2]Main!$C$24</f>
        <v>Gurgaon, India</v>
      </c>
      <c r="AD4" s="4">
        <f>[2]Main!$C$26</f>
        <v>2015</v>
      </c>
    </row>
    <row r="5" spans="2:30" x14ac:dyDescent="0.2">
      <c r="B5" s="25" t="s">
        <v>12</v>
      </c>
      <c r="C5" s="1" t="s">
        <v>15</v>
      </c>
      <c r="D5" s="4" t="s">
        <v>18</v>
      </c>
      <c r="E5" s="4" t="s">
        <v>377</v>
      </c>
      <c r="F5" s="28">
        <f>[3]Main!$C$6</f>
        <v>1.1198999999999999</v>
      </c>
      <c r="G5" s="26">
        <f>[3]Main!$C$7</f>
        <v>4950</v>
      </c>
      <c r="H5" s="26">
        <f>[3]Main!$C$8</f>
        <v>5543.5049999999992</v>
      </c>
      <c r="I5" s="26">
        <f>[3]Main!$C$11</f>
        <v>0</v>
      </c>
      <c r="J5" s="26">
        <f>[3]Main!$C$12</f>
        <v>5543.5049999999992</v>
      </c>
      <c r="K5" s="1" t="s">
        <v>25</v>
      </c>
      <c r="L5" s="4"/>
      <c r="M5" s="4"/>
      <c r="N5" s="4"/>
      <c r="O5" s="4"/>
      <c r="P5" s="4"/>
      <c r="Q5" s="4"/>
      <c r="S5" s="4">
        <v>531</v>
      </c>
      <c r="U5" s="4">
        <v>200</v>
      </c>
      <c r="W5" s="42">
        <f>[3]Main!$V$12</f>
        <v>13.233333333333334</v>
      </c>
      <c r="X5" s="4"/>
      <c r="AB5" s="4">
        <f>[3]Main!$C$28</f>
        <v>2011</v>
      </c>
      <c r="AC5" s="4" t="str">
        <f>[3]Main!$C$27</f>
        <v>London/Madrid</v>
      </c>
      <c r="AD5" s="4">
        <f>[3]Main!$C$29</f>
        <v>2011</v>
      </c>
    </row>
    <row r="6" spans="2:30" x14ac:dyDescent="0.2">
      <c r="B6" s="25" t="s">
        <v>421</v>
      </c>
      <c r="C6" s="1" t="s">
        <v>423</v>
      </c>
      <c r="D6" s="4" t="s">
        <v>42</v>
      </c>
      <c r="E6" s="4" t="s">
        <v>383</v>
      </c>
      <c r="F6" s="28">
        <f>[4]Main!$C$6*H33</f>
        <v>35.1372</v>
      </c>
      <c r="G6" s="26">
        <f>[4]Main!$C$7</f>
        <v>126.5</v>
      </c>
      <c r="H6" s="26">
        <f>[4]Main!$C$8*H33</f>
        <v>4444.8557999999994</v>
      </c>
      <c r="I6" s="26">
        <f>[4]Main!$C$11*H33</f>
        <v>942.48</v>
      </c>
      <c r="J6" s="26">
        <f>[4]Main!$C$12*H33</f>
        <v>3502.3757999999998</v>
      </c>
      <c r="K6" s="1" t="s">
        <v>422</v>
      </c>
      <c r="L6" s="22">
        <f>'[4]Financial Model'!$V$42</f>
        <v>0.26862302483069977</v>
      </c>
      <c r="M6" s="22"/>
      <c r="N6" s="22"/>
      <c r="O6" s="22"/>
      <c r="P6" s="22"/>
      <c r="Q6" s="4"/>
      <c r="U6" s="4"/>
      <c r="W6" s="4">
        <v>10.199999999999999</v>
      </c>
      <c r="X6" s="35">
        <f>[4]Main!$C$35</f>
        <v>1.3933386917609896</v>
      </c>
      <c r="Z6" s="4" t="str">
        <f>[4]Main!$C$30</f>
        <v>Q222</v>
      </c>
      <c r="AA6" s="36">
        <f>[4]Main!$D$30</f>
        <v>44378</v>
      </c>
      <c r="AB6" s="4">
        <f>[4]Main!$C$23</f>
        <v>1932</v>
      </c>
      <c r="AC6" s="4" t="str">
        <f>[4]Main!$C$24</f>
        <v>Seattle, WA</v>
      </c>
      <c r="AD6" s="4"/>
    </row>
    <row r="7" spans="2:30" x14ac:dyDescent="0.2">
      <c r="B7" s="25" t="s">
        <v>11</v>
      </c>
      <c r="C7" s="1" t="s">
        <v>14</v>
      </c>
      <c r="D7" s="4" t="s">
        <v>18</v>
      </c>
      <c r="E7" s="4" t="s">
        <v>381</v>
      </c>
      <c r="F7" s="28">
        <f>[5]Main!$C$6</f>
        <v>3.54</v>
      </c>
      <c r="G7" s="26">
        <f>[5]Main!$C$7</f>
        <v>758</v>
      </c>
      <c r="H7" s="26">
        <f>[5]Main!$C$8</f>
        <v>2683.32</v>
      </c>
      <c r="I7" s="26">
        <f>[5]Main!$C$11</f>
        <v>478</v>
      </c>
      <c r="J7" s="26">
        <f>[5]Main!$C$12</f>
        <v>2205.3200000000002</v>
      </c>
      <c r="K7" s="1" t="s">
        <v>392</v>
      </c>
      <c r="L7" s="22">
        <f>'[5]Financial Model'!$I$31</f>
        <v>2.4699599465954607E-2</v>
      </c>
      <c r="M7" s="22"/>
      <c r="N7" s="22"/>
      <c r="O7" s="22"/>
      <c r="P7" s="22"/>
      <c r="Q7" s="4"/>
      <c r="S7" s="4">
        <v>310</v>
      </c>
      <c r="T7" s="4">
        <v>106</v>
      </c>
      <c r="U7" s="4">
        <v>136</v>
      </c>
      <c r="W7" s="4">
        <f>AVERAGE(10,9.2,7.2)</f>
        <v>8.7999999999999989</v>
      </c>
      <c r="X7" s="35">
        <f>[5]Main!$C$37</f>
        <v>1.0939180327868854</v>
      </c>
      <c r="Z7" s="4" t="str">
        <f>[5]Main!$C$31</f>
        <v>H122</v>
      </c>
      <c r="AA7" s="36">
        <f>[5]Main!$D$31</f>
        <v>44700</v>
      </c>
      <c r="AB7" s="4">
        <f>[5]Main!$C$28</f>
        <v>1995</v>
      </c>
      <c r="AC7" s="4" t="str">
        <f>[5]Main!$C$27</f>
        <v>Luton, UK</v>
      </c>
      <c r="AD7" s="4">
        <f>[5]Main!$C$29</f>
        <v>2000</v>
      </c>
    </row>
    <row r="8" spans="2:30" x14ac:dyDescent="0.2">
      <c r="B8" s="25" t="s">
        <v>16</v>
      </c>
      <c r="C8" s="1" t="s">
        <v>17</v>
      </c>
      <c r="D8" s="4" t="s">
        <v>20</v>
      </c>
      <c r="E8" s="4" t="s">
        <v>381</v>
      </c>
      <c r="F8" s="28">
        <f>[6]Main!$C$6</f>
        <v>10.029999999999999</v>
      </c>
      <c r="G8" s="26">
        <f>[6]Main!$C$7</f>
        <v>214.62</v>
      </c>
      <c r="H8" s="26">
        <f>[6]Main!$C$8</f>
        <v>2152.6385999999998</v>
      </c>
      <c r="I8" s="26">
        <f>[6]Main!$C$11</f>
        <v>0</v>
      </c>
      <c r="J8" s="26">
        <f>[6]Main!$C$12</f>
        <v>2152.6385999999998</v>
      </c>
      <c r="K8" s="1" t="s">
        <v>391</v>
      </c>
      <c r="L8" s="4"/>
      <c r="M8" s="4"/>
      <c r="N8" s="4"/>
      <c r="O8" s="4"/>
      <c r="P8" s="4"/>
      <c r="Q8" s="4"/>
      <c r="S8" s="4">
        <v>96</v>
      </c>
      <c r="T8" s="4">
        <v>57</v>
      </c>
      <c r="U8" s="4">
        <v>82</v>
      </c>
      <c r="W8" s="44">
        <v>15.3</v>
      </c>
      <c r="X8" s="4"/>
      <c r="AB8" s="4">
        <f>[6]Main!$C$28</f>
        <v>1971</v>
      </c>
      <c r="AC8" s="4" t="str">
        <f>[6]Main!$C$27</f>
        <v>Leeds, UK</v>
      </c>
      <c r="AD8" s="4">
        <f>[6]Main!$C$29</f>
        <v>1988</v>
      </c>
    </row>
    <row r="9" spans="2:30" x14ac:dyDescent="0.2">
      <c r="B9" s="25" t="s">
        <v>434</v>
      </c>
      <c r="C9" s="1" t="s">
        <v>435</v>
      </c>
      <c r="D9" s="4" t="s">
        <v>65</v>
      </c>
      <c r="E9" s="4" t="s">
        <v>383</v>
      </c>
      <c r="F9" s="28">
        <f>[7]Main!$C$6*H33</f>
        <v>23.9148</v>
      </c>
      <c r="G9" s="26">
        <f>[7]Main!$C$7</f>
        <v>73.998000000000005</v>
      </c>
      <c r="H9" s="26">
        <f>[7]Main!$C$8*H33</f>
        <v>1769.6473704000002</v>
      </c>
      <c r="I9" s="26">
        <f>[7]Main!$C$11*H33</f>
        <v>-1104.7318799999998</v>
      </c>
      <c r="J9" s="26">
        <f>[7]Main!$C$12*H33</f>
        <v>2874.3792504000003</v>
      </c>
      <c r="K9" s="1" t="s">
        <v>605</v>
      </c>
      <c r="L9" s="22">
        <f>'[7]Financial Model'!$U$37</f>
        <v>0.33604299344574362</v>
      </c>
      <c r="M9" s="22"/>
      <c r="N9" s="22"/>
      <c r="O9" s="22"/>
      <c r="P9" s="22"/>
      <c r="S9" s="4">
        <f>[7]Main!$D$23</f>
        <v>117</v>
      </c>
      <c r="T9" s="4">
        <f>[7]Main!$D$24</f>
        <v>2</v>
      </c>
      <c r="U9" s="4" t="str">
        <f>[7]Main!$D$25</f>
        <v>N/A</v>
      </c>
      <c r="W9" s="4"/>
      <c r="X9" s="35">
        <f>[7]Main!$C$38</f>
        <v>1.4375141996217067</v>
      </c>
      <c r="Z9" s="4" t="str">
        <f>[7]Main!$C$33</f>
        <v>Q322</v>
      </c>
      <c r="AA9" s="36">
        <f>[7]Main!$D$33</f>
        <v>44868</v>
      </c>
      <c r="AB9" s="4">
        <f>[7]Main!$C$30</f>
        <v>1980</v>
      </c>
      <c r="AC9" s="4" t="str">
        <f>[7]Main!$C$29</f>
        <v>Wilmington, OH</v>
      </c>
      <c r="AD9" s="4">
        <f>[7]Main!$C$31</f>
        <v>2003</v>
      </c>
    </row>
    <row r="10" spans="2:30" x14ac:dyDescent="0.2">
      <c r="B10" s="25" t="s">
        <v>10</v>
      </c>
      <c r="C10" s="1" t="s">
        <v>13</v>
      </c>
      <c r="D10" s="4" t="s">
        <v>18</v>
      </c>
      <c r="E10" s="4" t="s">
        <v>377</v>
      </c>
      <c r="F10" s="28">
        <f>[8]Main!$C$6</f>
        <v>17.350000000000001</v>
      </c>
      <c r="G10" s="26">
        <f>[8]Main!$C$7</f>
        <v>103.7</v>
      </c>
      <c r="H10" s="26">
        <f>[8]Main!$C$8</f>
        <v>1799.1950000000002</v>
      </c>
      <c r="I10" s="26">
        <f>[8]Main!$C$11</f>
        <v>0</v>
      </c>
      <c r="J10" s="26">
        <f>[8]Main!$C$12</f>
        <v>1799.1950000000002</v>
      </c>
      <c r="K10" s="1" t="s">
        <v>19</v>
      </c>
      <c r="L10" s="22">
        <f>'[8]Financial Model'!$L$25</f>
        <v>0.47730688307784791</v>
      </c>
      <c r="M10" s="22"/>
      <c r="N10" s="22"/>
      <c r="O10" s="22"/>
      <c r="P10" s="22"/>
      <c r="Q10" s="22"/>
      <c r="R10" s="22"/>
      <c r="S10" s="4">
        <f>[8]Main!$D$21</f>
        <v>0</v>
      </c>
      <c r="T10" s="4">
        <f>[8]Main!$D$22</f>
        <v>153</v>
      </c>
      <c r="U10" s="4"/>
      <c r="W10" s="42">
        <f>AVERAGE(5.2,3.7,0.7,2.7)</f>
        <v>3.0750000000000002</v>
      </c>
      <c r="X10" s="4"/>
      <c r="AB10" s="4">
        <f>[8]Main!$C$29</f>
        <v>2003</v>
      </c>
      <c r="AC10" s="4" t="str">
        <f>[8]Main!$C$28</f>
        <v>Budapest, Hungary</v>
      </c>
      <c r="AD10" s="4">
        <f>[8]Main!$C$30</f>
        <v>2015</v>
      </c>
    </row>
    <row r="11" spans="2:30" x14ac:dyDescent="0.2">
      <c r="B11" s="25"/>
      <c r="E11" s="4"/>
      <c r="H11" s="28"/>
      <c r="I11" s="27"/>
      <c r="J11" s="27"/>
      <c r="L11" s="4"/>
      <c r="M11" s="4"/>
      <c r="N11" s="4"/>
      <c r="O11" s="4"/>
      <c r="P11" s="4"/>
      <c r="Q11" s="4"/>
      <c r="U11" s="4"/>
      <c r="X11" s="4"/>
    </row>
    <row r="12" spans="2:30" x14ac:dyDescent="0.2"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X12" s="4"/>
    </row>
    <row r="13" spans="2:30" x14ac:dyDescent="0.2">
      <c r="B13" s="1" t="s">
        <v>21</v>
      </c>
      <c r="C13" s="1" t="s">
        <v>22</v>
      </c>
      <c r="D13" s="4" t="s">
        <v>18</v>
      </c>
      <c r="H13" s="31"/>
      <c r="K13" s="1" t="s">
        <v>24</v>
      </c>
      <c r="L13" s="4"/>
      <c r="M13" s="4"/>
      <c r="N13" s="4"/>
      <c r="O13" s="4"/>
      <c r="P13" s="4"/>
      <c r="Q13" s="4"/>
      <c r="S13" s="4">
        <v>130</v>
      </c>
      <c r="T13" s="4">
        <v>44</v>
      </c>
      <c r="U13" s="4"/>
      <c r="X13" s="4"/>
    </row>
    <row r="14" spans="2:30" x14ac:dyDescent="0.2">
      <c r="B14" s="33">
        <v>753</v>
      </c>
      <c r="C14" s="1" t="s">
        <v>88</v>
      </c>
      <c r="D14" s="4" t="s">
        <v>396</v>
      </c>
      <c r="H14" s="31"/>
      <c r="K14" s="1" t="s">
        <v>604</v>
      </c>
      <c r="L14" s="4"/>
      <c r="M14" s="4"/>
      <c r="N14" s="4"/>
      <c r="O14" s="4"/>
      <c r="P14" s="4"/>
      <c r="Q14" s="4"/>
      <c r="U14" s="4"/>
      <c r="X14" s="4"/>
    </row>
    <row r="15" spans="2:30" x14ac:dyDescent="0.2">
      <c r="B15" s="1" t="s">
        <v>382</v>
      </c>
      <c r="C15" s="1" t="s">
        <v>54</v>
      </c>
      <c r="D15" s="4" t="s">
        <v>42</v>
      </c>
      <c r="E15" s="4" t="s">
        <v>383</v>
      </c>
      <c r="F15" s="1">
        <v>40.14</v>
      </c>
      <c r="H15" s="32">
        <f>(F15*H33)*592.96</f>
        <v>19993.188095999998</v>
      </c>
      <c r="K15" s="1" t="s">
        <v>395</v>
      </c>
      <c r="L15" s="4"/>
      <c r="M15" s="4"/>
      <c r="N15" s="4"/>
      <c r="O15" s="4"/>
      <c r="P15" s="4"/>
      <c r="Q15" s="4"/>
      <c r="X15" s="4"/>
    </row>
    <row r="16" spans="2:30" x14ac:dyDescent="0.2">
      <c r="B16" s="29">
        <v>9201</v>
      </c>
      <c r="C16" s="1" t="s">
        <v>386</v>
      </c>
      <c r="D16" s="4" t="s">
        <v>387</v>
      </c>
      <c r="E16" s="4" t="s">
        <v>388</v>
      </c>
      <c r="F16" s="30">
        <v>2357</v>
      </c>
      <c r="G16" s="30"/>
      <c r="H16" s="32">
        <f>(F16*H35)*320.79</f>
        <v>4536.6121800000001</v>
      </c>
      <c r="K16" s="1" t="s">
        <v>390</v>
      </c>
      <c r="L16" s="4"/>
      <c r="M16" s="4"/>
      <c r="N16" s="4"/>
      <c r="O16" s="4"/>
      <c r="P16" s="4"/>
      <c r="X16" s="4"/>
    </row>
    <row r="17" spans="2:30" x14ac:dyDescent="0.2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(F17*H33)*320.79</f>
        <v>2570.6827439999997</v>
      </c>
      <c r="K17" s="1" t="s">
        <v>393</v>
      </c>
      <c r="L17" s="4"/>
      <c r="M17" s="4"/>
      <c r="N17" s="4"/>
      <c r="O17" s="4"/>
      <c r="P17" s="4"/>
      <c r="Q17" s="4"/>
      <c r="X17" s="4"/>
    </row>
    <row r="18" spans="2:30" x14ac:dyDescent="0.2">
      <c r="B18" s="25" t="s">
        <v>397</v>
      </c>
      <c r="C18" s="1" t="s">
        <v>41</v>
      </c>
      <c r="D18" s="4" t="s">
        <v>42</v>
      </c>
      <c r="E18" s="4" t="s">
        <v>383</v>
      </c>
      <c r="F18" s="52">
        <f>[9]Main!$C$6*H33</f>
        <v>28.3416</v>
      </c>
      <c r="K18" s="1" t="s">
        <v>398</v>
      </c>
      <c r="X18" s="4"/>
      <c r="AB18" s="4">
        <f>[9]Main!$C$24</f>
        <v>1924</v>
      </c>
      <c r="AC18" s="4" t="str">
        <f>[9]Main!$C$23</f>
        <v>Atlanta, GA</v>
      </c>
      <c r="AD18" s="4">
        <f>[9]Main!$C$25</f>
        <v>0</v>
      </c>
    </row>
    <row r="19" spans="2:30" x14ac:dyDescent="0.2">
      <c r="B19" s="1" t="s">
        <v>630</v>
      </c>
      <c r="C19" s="1" t="s">
        <v>631</v>
      </c>
      <c r="D19" s="4" t="s">
        <v>65</v>
      </c>
      <c r="E19" s="4" t="s">
        <v>383</v>
      </c>
      <c r="F19" s="52"/>
      <c r="K19" s="1" t="s">
        <v>639</v>
      </c>
      <c r="X19" s="4"/>
      <c r="AB19" s="4"/>
      <c r="AC19" s="4"/>
      <c r="AD19" s="4"/>
    </row>
    <row r="20" spans="2:30" x14ac:dyDescent="0.2">
      <c r="B20" s="1" t="s">
        <v>632</v>
      </c>
      <c r="C20" s="1" t="s">
        <v>232</v>
      </c>
      <c r="D20" s="4" t="s">
        <v>42</v>
      </c>
      <c r="E20" s="4" t="s">
        <v>383</v>
      </c>
      <c r="F20" s="52"/>
      <c r="K20" s="1" t="s">
        <v>638</v>
      </c>
      <c r="X20" s="4"/>
      <c r="AB20" s="4"/>
      <c r="AC20" s="4"/>
      <c r="AD20" s="4"/>
    </row>
    <row r="21" spans="2:30" x14ac:dyDescent="0.2">
      <c r="B21" s="1" t="s">
        <v>633</v>
      </c>
      <c r="C21" s="1" t="s">
        <v>634</v>
      </c>
      <c r="D21" s="4" t="s">
        <v>42</v>
      </c>
      <c r="E21" s="4" t="s">
        <v>383</v>
      </c>
      <c r="F21" s="52"/>
      <c r="K21" s="1" t="s">
        <v>637</v>
      </c>
      <c r="X21" s="4"/>
      <c r="AB21" s="4"/>
      <c r="AC21" s="4"/>
      <c r="AD21" s="4"/>
    </row>
    <row r="22" spans="2:30" x14ac:dyDescent="0.2">
      <c r="B22" s="1" t="s">
        <v>635</v>
      </c>
      <c r="C22" s="1" t="s">
        <v>636</v>
      </c>
      <c r="D22" s="4" t="s">
        <v>42</v>
      </c>
      <c r="E22" s="4" t="s">
        <v>383</v>
      </c>
      <c r="F22" s="52"/>
      <c r="K22" s="1" t="s">
        <v>637</v>
      </c>
      <c r="X22" s="4"/>
      <c r="AB22" s="4"/>
      <c r="AC22" s="4"/>
      <c r="AD22" s="4"/>
    </row>
    <row r="23" spans="2:30" x14ac:dyDescent="0.2">
      <c r="E23" s="4"/>
      <c r="F23" s="52"/>
      <c r="X23" s="4"/>
      <c r="AB23" s="4"/>
      <c r="AC23" s="4"/>
      <c r="AD23" s="4"/>
    </row>
    <row r="24" spans="2:30" x14ac:dyDescent="0.2">
      <c r="B24" s="25"/>
      <c r="E24" s="4"/>
      <c r="F24" s="52"/>
      <c r="X24" s="4"/>
      <c r="AB24" s="4"/>
      <c r="AC24" s="4"/>
      <c r="AD24" s="4"/>
    </row>
    <row r="25" spans="2:30" x14ac:dyDescent="0.2">
      <c r="H25" s="32"/>
    </row>
    <row r="27" spans="2:30" x14ac:dyDescent="0.2">
      <c r="B27" s="49" t="s">
        <v>620</v>
      </c>
      <c r="C27" s="49"/>
      <c r="D27" s="50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0"/>
      <c r="T27" s="50"/>
      <c r="U27" s="51"/>
      <c r="V27" s="51"/>
      <c r="W27" s="51"/>
      <c r="X27" s="51"/>
      <c r="Y27" s="51"/>
      <c r="Z27" s="50"/>
      <c r="AA27" s="50"/>
      <c r="AB27" s="51"/>
      <c r="AC27" s="51"/>
      <c r="AD27" s="51"/>
    </row>
    <row r="28" spans="2:30" x14ac:dyDescent="0.2">
      <c r="B28" s="25" t="s">
        <v>621</v>
      </c>
      <c r="C28" s="1" t="s">
        <v>622</v>
      </c>
      <c r="D28" s="4" t="s">
        <v>67</v>
      </c>
      <c r="E28" s="4" t="s">
        <v>381</v>
      </c>
      <c r="F28" s="48" t="s">
        <v>623</v>
      </c>
      <c r="G28" s="48" t="s">
        <v>623</v>
      </c>
      <c r="H28" s="48" t="s">
        <v>623</v>
      </c>
      <c r="I28" s="48" t="s">
        <v>623</v>
      </c>
      <c r="J28" s="48" t="s">
        <v>623</v>
      </c>
      <c r="K28" s="1" t="s">
        <v>627</v>
      </c>
      <c r="L28" s="22">
        <f>[10]Accounts!$L$18</f>
        <v>3.7691802910883844E-2</v>
      </c>
      <c r="M28" s="22">
        <f>[10]Accounts!$L$19</f>
        <v>-7.2462158441842464E-2</v>
      </c>
      <c r="N28" s="22">
        <f>[10]Accounts!$L$20</f>
        <v>-8.0967153446236284E-2</v>
      </c>
      <c r="O28" s="22">
        <f>[10]Accounts!$K$21</f>
        <v>0.18785583230649008</v>
      </c>
      <c r="S28" s="4">
        <f>[10]Main!$C$16</f>
        <v>16</v>
      </c>
      <c r="T28" s="4">
        <f>[10]Main!$C$18</f>
        <v>0</v>
      </c>
      <c r="U28" s="4" t="s">
        <v>67</v>
      </c>
      <c r="W28" s="4">
        <f>[10]Main!$C$17</f>
        <v>14.4</v>
      </c>
      <c r="Z28" s="4" t="str">
        <f>[10]Main!$C$20</f>
        <v>FY21/22</v>
      </c>
      <c r="AA28" s="36">
        <f>[10]Main!$D$20</f>
        <v>45141</v>
      </c>
      <c r="AB28" s="4">
        <f>[10]Main!$C$14</f>
        <v>1988</v>
      </c>
      <c r="AC28" s="4" t="str">
        <f>[10]Main!$C$13</f>
        <v>Stanstead Airport, UK</v>
      </c>
      <c r="AD28" s="4" t="s">
        <v>67</v>
      </c>
    </row>
    <row r="32" spans="2:30" x14ac:dyDescent="0.2">
      <c r="D32" s="1"/>
      <c r="F32" s="56" t="s">
        <v>378</v>
      </c>
      <c r="G32" s="57"/>
      <c r="H32" s="58"/>
      <c r="S32" s="1"/>
      <c r="T32" s="1"/>
    </row>
    <row r="33" spans="4:20" x14ac:dyDescent="0.2">
      <c r="D33" s="1"/>
      <c r="F33" s="54" t="s">
        <v>379</v>
      </c>
      <c r="G33" s="55"/>
      <c r="H33" s="23">
        <v>0.84</v>
      </c>
      <c r="S33" s="1"/>
      <c r="T33" s="1"/>
    </row>
    <row r="34" spans="4:20" x14ac:dyDescent="0.2">
      <c r="D34" s="1"/>
      <c r="F34" s="54" t="s">
        <v>380</v>
      </c>
      <c r="G34" s="55"/>
      <c r="H34" s="23">
        <v>0.85</v>
      </c>
      <c r="S34" s="1"/>
      <c r="T34" s="1"/>
    </row>
    <row r="35" spans="4:20" x14ac:dyDescent="0.2">
      <c r="D35" s="1"/>
      <c r="F35" s="54" t="s">
        <v>389</v>
      </c>
      <c r="G35" s="55"/>
      <c r="H35" s="23">
        <v>6.0000000000000001E-3</v>
      </c>
      <c r="S35" s="1"/>
      <c r="T35" s="1"/>
    </row>
    <row r="36" spans="4:20" x14ac:dyDescent="0.2">
      <c r="F36" s="59" t="s">
        <v>431</v>
      </c>
      <c r="G36" s="60"/>
      <c r="H36" s="24">
        <v>1.0999999999999999E-2</v>
      </c>
    </row>
    <row r="39" spans="4:20" x14ac:dyDescent="0.2">
      <c r="F39" s="56" t="s">
        <v>410</v>
      </c>
      <c r="G39" s="57"/>
      <c r="H39" s="58"/>
    </row>
    <row r="40" spans="4:20" x14ac:dyDescent="0.2">
      <c r="F40" s="1" t="s">
        <v>608</v>
      </c>
      <c r="G40" s="34" t="s">
        <v>609</v>
      </c>
    </row>
  </sheetData>
  <mergeCells count="8">
    <mergeCell ref="F1:J1"/>
    <mergeCell ref="F33:G33"/>
    <mergeCell ref="F34:G34"/>
    <mergeCell ref="F39:H39"/>
    <mergeCell ref="F36:G36"/>
    <mergeCell ref="F35:G35"/>
    <mergeCell ref="F32:H32"/>
    <mergeCell ref="B12:U12"/>
  </mergeCells>
  <hyperlinks>
    <hyperlink ref="B10" r:id="rId1" xr:uid="{3B58BCD6-42FB-9B41-82F9-2CB3C0FF35E5}"/>
    <hyperlink ref="B7" r:id="rId2" xr:uid="{176C962A-9F96-4539-8149-82E34F7BBB40}"/>
    <hyperlink ref="B8" r:id="rId3" xr:uid="{56F8AAB4-AB88-4816-A70A-66823F4EBD86}"/>
    <hyperlink ref="B5" r:id="rId4" xr:uid="{593208B0-BF4C-4E7C-9DA3-9FABEC41EED7}"/>
    <hyperlink ref="B6" r:id="rId5" xr:uid="{5BD026C6-209C-4F8D-96F9-0D20474E4F7F}"/>
    <hyperlink ref="B4" r:id="rId6" xr:uid="{28605697-2E3F-4D0E-BA6A-013F294DB301}"/>
    <hyperlink ref="B9" r:id="rId7" xr:uid="{7F471098-FF05-4C1A-AA9F-8A6A66E1327B}"/>
    <hyperlink ref="B3" r:id="rId8" xr:uid="{340E3559-5E25-4E5A-9CCF-84716432B315}"/>
    <hyperlink ref="G40" r:id="rId9" xr:uid="{76EE83BD-7400-4A46-978B-D25721A01204}"/>
    <hyperlink ref="B28" r:id="rId10" xr:uid="{C5ACF554-92E1-4EE1-9BA9-3999DE03B357}"/>
    <hyperlink ref="B18" r:id="rId11" xr:uid="{D7C56EA9-B97D-4FCE-9474-2C5FB0F6C524}"/>
  </hyperlinks>
  <pageMargins left="0.7" right="0.7" top="0.75" bottom="0.75" header="0.3" footer="0.3"/>
  <pageSetup paperSize="256" orientation="portrait" horizontalDpi="203" verticalDpi="203" r:id="rId12"/>
  <legacy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1:N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ColWidth="8" defaultRowHeight="12.75" x14ac:dyDescent="0.2"/>
  <cols>
    <col min="1" max="1" width="2" style="1" customWidth="1"/>
    <col min="2" max="2" width="23.37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14.875" style="1" bestFit="1" customWidth="1"/>
    <col min="7" max="7" width="8" style="1"/>
    <col min="8" max="8" width="41.625" style="1" bestFit="1" customWidth="1"/>
    <col min="9" max="9" width="8.875" style="1" bestFit="1" customWidth="1"/>
    <col min="10" max="10" width="8" style="1"/>
    <col min="11" max="11" width="13.125" style="1" bestFit="1" customWidth="1"/>
    <col min="12" max="13" width="8" style="1"/>
    <col min="14" max="14" width="33.875" style="1" bestFit="1" customWidth="1"/>
    <col min="15" max="16384" width="8" style="1"/>
  </cols>
  <sheetData>
    <row r="1" spans="2:14" x14ac:dyDescent="0.2">
      <c r="L1" s="43">
        <f>AVERAGE(L3:L6)</f>
        <v>10.8</v>
      </c>
    </row>
    <row r="2" spans="2:14" s="2" customFormat="1" x14ac:dyDescent="0.2">
      <c r="B2" s="2" t="s">
        <v>400</v>
      </c>
      <c r="C2" s="2" t="s">
        <v>401</v>
      </c>
      <c r="D2" s="2" t="s">
        <v>8</v>
      </c>
      <c r="E2" s="3" t="s">
        <v>415</v>
      </c>
      <c r="F2" s="3" t="s">
        <v>432</v>
      </c>
      <c r="G2" s="3" t="s">
        <v>402</v>
      </c>
      <c r="H2" s="2" t="s">
        <v>414</v>
      </c>
      <c r="I2" s="3" t="s">
        <v>406</v>
      </c>
      <c r="J2" s="3" t="s">
        <v>407</v>
      </c>
      <c r="K2" s="3" t="s">
        <v>408</v>
      </c>
      <c r="L2" s="3" t="s">
        <v>607</v>
      </c>
      <c r="M2" s="3" t="s">
        <v>410</v>
      </c>
      <c r="N2" s="2" t="s">
        <v>403</v>
      </c>
    </row>
    <row r="3" spans="2:14" s="45" customFormat="1" x14ac:dyDescent="0.2">
      <c r="B3" s="45" t="s">
        <v>404</v>
      </c>
      <c r="D3" s="45" t="s">
        <v>629</v>
      </c>
      <c r="E3" s="46" t="s">
        <v>416</v>
      </c>
      <c r="F3" s="46" t="s">
        <v>615</v>
      </c>
      <c r="G3" s="46">
        <v>2020</v>
      </c>
      <c r="H3" s="45" t="s">
        <v>405</v>
      </c>
      <c r="I3" s="46">
        <v>7</v>
      </c>
      <c r="J3" s="46">
        <v>5</v>
      </c>
      <c r="K3" s="46">
        <v>16</v>
      </c>
      <c r="L3" s="46">
        <v>13.9</v>
      </c>
      <c r="M3" s="47" t="s">
        <v>411</v>
      </c>
      <c r="N3" s="45" t="s">
        <v>616</v>
      </c>
    </row>
    <row r="4" spans="2:14" x14ac:dyDescent="0.2">
      <c r="B4" s="1" t="s">
        <v>409</v>
      </c>
      <c r="D4" s="1" t="s">
        <v>420</v>
      </c>
      <c r="E4" s="4" t="s">
        <v>416</v>
      </c>
      <c r="F4" s="4" t="s">
        <v>619</v>
      </c>
      <c r="G4" s="4">
        <v>1984</v>
      </c>
      <c r="H4" s="1" t="s">
        <v>413</v>
      </c>
      <c r="I4" s="4">
        <v>36</v>
      </c>
      <c r="J4" s="4">
        <v>21</v>
      </c>
      <c r="K4" s="4">
        <v>32</v>
      </c>
      <c r="L4" s="4">
        <v>7.1</v>
      </c>
      <c r="M4" s="34" t="s">
        <v>411</v>
      </c>
      <c r="N4" s="1" t="s">
        <v>412</v>
      </c>
    </row>
    <row r="5" spans="2:14" x14ac:dyDescent="0.2">
      <c r="B5" s="1" t="s">
        <v>417</v>
      </c>
      <c r="D5" s="1" t="s">
        <v>419</v>
      </c>
      <c r="E5" s="4" t="s">
        <v>416</v>
      </c>
      <c r="F5" s="4" t="s">
        <v>617</v>
      </c>
      <c r="G5" s="4">
        <v>1997</v>
      </c>
      <c r="I5" s="4">
        <v>14</v>
      </c>
      <c r="J5" s="4">
        <v>0</v>
      </c>
      <c r="K5" s="4" t="s">
        <v>418</v>
      </c>
      <c r="L5" s="4">
        <v>7.8</v>
      </c>
      <c r="M5" s="34" t="s">
        <v>411</v>
      </c>
    </row>
    <row r="6" spans="2:14" x14ac:dyDescent="0.2">
      <c r="B6" s="25" t="s">
        <v>613</v>
      </c>
      <c r="D6" s="1" t="s">
        <v>614</v>
      </c>
      <c r="E6" s="4" t="s">
        <v>416</v>
      </c>
      <c r="F6" s="4" t="s">
        <v>618</v>
      </c>
      <c r="G6" s="4">
        <v>1988</v>
      </c>
      <c r="I6" s="4">
        <f>[10]Main!$C$16</f>
        <v>16</v>
      </c>
      <c r="J6" s="4">
        <f>[10]Main!$C$18</f>
        <v>0</v>
      </c>
      <c r="L6" s="4">
        <f>[10]Main!$C$17</f>
        <v>14.4</v>
      </c>
      <c r="M6" s="34" t="s">
        <v>411</v>
      </c>
    </row>
  </sheetData>
  <hyperlinks>
    <hyperlink ref="M6" r:id="rId1" xr:uid="{7158A053-BE5F-4646-8E0B-5F3D64A099E7}"/>
    <hyperlink ref="B6" r:id="rId2" xr:uid="{1F071127-866B-4B01-A882-6893B122F78A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2023-04-13T18:42:18Z</dcterms:modified>
</cp:coreProperties>
</file>