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DE9CB187-B210-4584-9990-3C3FF95EC691}" xr6:coauthVersionLast="36" xr6:coauthVersionMax="47" xr10:uidLastSave="{00000000-0000-0000-0000-000000000000}"/>
  <bookViews>
    <workbookView xWindow="-120" yWindow="-120" windowWidth="29040" windowHeight="15720" activeTab="1" xr2:uid="{CAE9C2D9-D16F-440A-AAB4-E1D9DF6A06C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5" i="2" l="1"/>
  <c r="AB15" i="2"/>
  <c r="AC15" i="2" s="1"/>
  <c r="AD15" i="2" s="1"/>
  <c r="Z9" i="2"/>
  <c r="Y9" i="2"/>
  <c r="X9" i="2"/>
  <c r="W9" i="2"/>
  <c r="AA9" i="2"/>
  <c r="AB9" i="2"/>
  <c r="AC9" i="2"/>
  <c r="AD9" i="2"/>
  <c r="AE9" i="2"/>
  <c r="AF9" i="2"/>
  <c r="AG9" i="2"/>
  <c r="AH9" i="2"/>
  <c r="Y2" i="2"/>
  <c r="Z2" i="2" s="1"/>
  <c r="AA2" i="2" s="1"/>
  <c r="AB2" i="2" s="1"/>
  <c r="AC2" i="2" s="1"/>
  <c r="AD2" i="2" s="1"/>
  <c r="AE2" i="2" s="1"/>
  <c r="AF2" i="2" s="1"/>
  <c r="AG2" i="2" s="1"/>
  <c r="AH2" i="2" s="1"/>
  <c r="X2" i="2"/>
  <c r="A87" i="2"/>
  <c r="N89" i="2"/>
  <c r="M89" i="2"/>
  <c r="N88" i="2"/>
  <c r="M88" i="2"/>
  <c r="N87" i="2"/>
  <c r="M87" i="2"/>
  <c r="L89" i="2"/>
  <c r="K89" i="2"/>
  <c r="L88" i="2"/>
  <c r="K88" i="2"/>
  <c r="L87" i="2"/>
  <c r="K87" i="2"/>
  <c r="J89" i="2"/>
  <c r="I89" i="2"/>
  <c r="J88" i="2"/>
  <c r="I88" i="2"/>
  <c r="J87" i="2"/>
  <c r="I87" i="2"/>
  <c r="H89" i="2"/>
  <c r="G89" i="2"/>
  <c r="H88" i="2"/>
  <c r="G88" i="2"/>
  <c r="H87" i="2"/>
  <c r="G87" i="2"/>
  <c r="N85" i="2"/>
  <c r="N84" i="2"/>
  <c r="N83" i="2"/>
  <c r="N82" i="2"/>
  <c r="L85" i="2"/>
  <c r="L84" i="2"/>
  <c r="L83" i="2"/>
  <c r="L82" i="2"/>
  <c r="J85" i="2"/>
  <c r="J84" i="2"/>
  <c r="J83" i="2"/>
  <c r="J82" i="2"/>
  <c r="H85" i="2"/>
  <c r="H84" i="2"/>
  <c r="H83" i="2"/>
  <c r="H82" i="2"/>
  <c r="N81" i="2"/>
  <c r="L81" i="2"/>
  <c r="J81" i="2"/>
  <c r="H81" i="2"/>
  <c r="N79" i="2"/>
  <c r="N78" i="2"/>
  <c r="L78" i="2"/>
  <c r="L79" i="2" s="1"/>
  <c r="J78" i="2"/>
  <c r="J79" i="2" s="1"/>
  <c r="H79" i="2"/>
  <c r="H78" i="2"/>
  <c r="AK29" i="2"/>
  <c r="AK26" i="2"/>
  <c r="AE15" i="2" l="1"/>
  <c r="AF15" i="2" s="1"/>
  <c r="AG15" i="2" s="1"/>
  <c r="AH15" i="2" s="1"/>
  <c r="X15" i="2" l="1"/>
  <c r="W15" i="2"/>
  <c r="Y12" i="2"/>
  <c r="X12" i="2"/>
  <c r="X11" i="2"/>
  <c r="X13" i="2" s="1"/>
  <c r="W12" i="2"/>
  <c r="W11" i="2"/>
  <c r="W13" i="2" s="1"/>
  <c r="AH8" i="2"/>
  <c r="AG8" i="2"/>
  <c r="AF8" i="2"/>
  <c r="AE8" i="2"/>
  <c r="AD8" i="2"/>
  <c r="AC8" i="2"/>
  <c r="AB8" i="2"/>
  <c r="AA8" i="2"/>
  <c r="Z8" i="2"/>
  <c r="Y8" i="2"/>
  <c r="X8" i="2"/>
  <c r="W8" i="2"/>
  <c r="Y18" i="2"/>
  <c r="Z18" i="2" s="1"/>
  <c r="AA18" i="2" s="1"/>
  <c r="AB18" i="2" s="1"/>
  <c r="AC18" i="2" s="1"/>
  <c r="AD18" i="2" s="1"/>
  <c r="AE18" i="2" s="1"/>
  <c r="AF18" i="2" s="1"/>
  <c r="AG18" i="2" s="1"/>
  <c r="AH18" i="2" s="1"/>
  <c r="X18" i="2"/>
  <c r="W18" i="2"/>
  <c r="AC10" i="2"/>
  <c r="AC24" i="2" s="1"/>
  <c r="Y7" i="2"/>
  <c r="Z7" i="2" s="1"/>
  <c r="X7" i="2"/>
  <c r="W7" i="2"/>
  <c r="AH5" i="2"/>
  <c r="AH6" i="2" s="1"/>
  <c r="AH10" i="2" s="1"/>
  <c r="AH24" i="2" s="1"/>
  <c r="AG5" i="2"/>
  <c r="AG6" i="2" s="1"/>
  <c r="AF5" i="2"/>
  <c r="AF6" i="2" s="1"/>
  <c r="AE5" i="2"/>
  <c r="AE6" i="2" s="1"/>
  <c r="AE10" i="2" s="1"/>
  <c r="AE24" i="2" s="1"/>
  <c r="AD5" i="2"/>
  <c r="AD6" i="2" s="1"/>
  <c r="AD10" i="2" s="1"/>
  <c r="AD24" i="2" s="1"/>
  <c r="AC5" i="2"/>
  <c r="AC6" i="2" s="1"/>
  <c r="AB5" i="2"/>
  <c r="AB6" i="2" s="1"/>
  <c r="AA5" i="2"/>
  <c r="AA6" i="2" s="1"/>
  <c r="Z5" i="2"/>
  <c r="Z6" i="2" s="1"/>
  <c r="Z10" i="2" s="1"/>
  <c r="Z24" i="2" s="1"/>
  <c r="Y5" i="2"/>
  <c r="Y6" i="2" s="1"/>
  <c r="Y10" i="2" s="1"/>
  <c r="Y24" i="2" s="1"/>
  <c r="X5" i="2"/>
  <c r="X6" i="2" s="1"/>
  <c r="W5" i="2"/>
  <c r="W6" i="2" s="1"/>
  <c r="Y4" i="2"/>
  <c r="Z4" i="2" s="1"/>
  <c r="AA4" i="2" s="1"/>
  <c r="AB4" i="2" s="1"/>
  <c r="AC4" i="2" s="1"/>
  <c r="AD4" i="2" s="1"/>
  <c r="AE4" i="2" s="1"/>
  <c r="AF4" i="2" s="1"/>
  <c r="AG4" i="2" s="1"/>
  <c r="AH4" i="2" s="1"/>
  <c r="X4" i="2"/>
  <c r="W20" i="2"/>
  <c r="W4" i="2"/>
  <c r="N77" i="2"/>
  <c r="L77" i="2"/>
  <c r="J77" i="2"/>
  <c r="H77" i="2"/>
  <c r="N74" i="2"/>
  <c r="N73" i="2"/>
  <c r="N75" i="2" s="1"/>
  <c r="N71" i="2"/>
  <c r="N70" i="2"/>
  <c r="L70" i="2"/>
  <c r="N68" i="2"/>
  <c r="N67" i="2"/>
  <c r="N64" i="2"/>
  <c r="N63" i="2"/>
  <c r="N60" i="2"/>
  <c r="N58" i="2"/>
  <c r="N57" i="2"/>
  <c r="N56" i="2"/>
  <c r="N50" i="2"/>
  <c r="N48" i="2"/>
  <c r="N62" i="2"/>
  <c r="N59" i="2"/>
  <c r="N55" i="2"/>
  <c r="N54" i="2"/>
  <c r="N51" i="2"/>
  <c r="N49" i="2"/>
  <c r="N47" i="2"/>
  <c r="N45" i="2"/>
  <c r="N44" i="2"/>
  <c r="N43" i="2"/>
  <c r="N42" i="2"/>
  <c r="L74" i="2"/>
  <c r="L73" i="2"/>
  <c r="L75" i="2" s="1"/>
  <c r="L71" i="2"/>
  <c r="L68" i="2"/>
  <c r="L67" i="2"/>
  <c r="L64" i="2"/>
  <c r="L63" i="2"/>
  <c r="L60" i="2"/>
  <c r="L58" i="2"/>
  <c r="L57" i="2"/>
  <c r="L56" i="2"/>
  <c r="L50" i="2"/>
  <c r="L48" i="2"/>
  <c r="L45" i="2"/>
  <c r="L44" i="2"/>
  <c r="L43" i="2"/>
  <c r="L62" i="2"/>
  <c r="L59" i="2"/>
  <c r="L55" i="2"/>
  <c r="L54" i="2"/>
  <c r="L51" i="2"/>
  <c r="L49" i="2"/>
  <c r="L47" i="2"/>
  <c r="L42" i="2"/>
  <c r="M70" i="2"/>
  <c r="M74" i="2"/>
  <c r="M73" i="2"/>
  <c r="M75" i="2" s="1"/>
  <c r="M71" i="2"/>
  <c r="K74" i="2"/>
  <c r="K73" i="2"/>
  <c r="K75" i="2" s="1"/>
  <c r="K70" i="2"/>
  <c r="K71" i="2" s="1"/>
  <c r="M68" i="2"/>
  <c r="M61" i="2"/>
  <c r="M65" i="2" s="1"/>
  <c r="K61" i="2"/>
  <c r="K65" i="2" s="1"/>
  <c r="K68" i="2" s="1"/>
  <c r="M52" i="2"/>
  <c r="K52" i="2"/>
  <c r="N46" i="2"/>
  <c r="N52" i="2" s="1"/>
  <c r="M46" i="2"/>
  <c r="L46" i="2"/>
  <c r="L52" i="2" s="1"/>
  <c r="K46" i="2"/>
  <c r="N30" i="2"/>
  <c r="N26" i="2"/>
  <c r="N25" i="2"/>
  <c r="N24" i="2"/>
  <c r="N23" i="2"/>
  <c r="N21" i="2"/>
  <c r="N20" i="2"/>
  <c r="N17" i="2"/>
  <c r="N18" i="2"/>
  <c r="N15" i="2"/>
  <c r="N12" i="2"/>
  <c r="N11" i="2"/>
  <c r="N9" i="2"/>
  <c r="N8" i="2"/>
  <c r="N7" i="2"/>
  <c r="N5" i="2"/>
  <c r="N13" i="2"/>
  <c r="L10" i="2"/>
  <c r="L24" i="2" s="1"/>
  <c r="N6" i="2"/>
  <c r="N10" i="2" s="1"/>
  <c r="N4" i="2"/>
  <c r="N3" i="2"/>
  <c r="N2" i="2"/>
  <c r="L31" i="2"/>
  <c r="L30" i="2"/>
  <c r="M26" i="2"/>
  <c r="M25" i="2"/>
  <c r="M24" i="2"/>
  <c r="M23" i="2"/>
  <c r="L23" i="2"/>
  <c r="M21" i="2"/>
  <c r="L21" i="2"/>
  <c r="M20" i="2"/>
  <c r="L20" i="2"/>
  <c r="L2" i="2"/>
  <c r="L15" i="2"/>
  <c r="L12" i="2"/>
  <c r="L11" i="2"/>
  <c r="L13" i="2" s="1"/>
  <c r="L9" i="2"/>
  <c r="L8" i="2"/>
  <c r="L7" i="2"/>
  <c r="L5" i="2"/>
  <c r="L4" i="2"/>
  <c r="L6" i="2" s="1"/>
  <c r="K26" i="2"/>
  <c r="K25" i="2"/>
  <c r="K24" i="2"/>
  <c r="K23" i="2"/>
  <c r="K21" i="2"/>
  <c r="K20" i="2"/>
  <c r="K17" i="2"/>
  <c r="M17" i="2"/>
  <c r="L18" i="2"/>
  <c r="M13" i="2"/>
  <c r="K13" i="2"/>
  <c r="K6" i="2"/>
  <c r="K10" i="2" s="1"/>
  <c r="M6" i="2"/>
  <c r="M10" i="2" s="1"/>
  <c r="J64" i="2"/>
  <c r="J63" i="2"/>
  <c r="J60" i="2"/>
  <c r="J58" i="2"/>
  <c r="J57" i="2"/>
  <c r="J56" i="2"/>
  <c r="J50" i="2"/>
  <c r="J48" i="2"/>
  <c r="J45" i="2"/>
  <c r="J44" i="2"/>
  <c r="J43" i="2"/>
  <c r="J46" i="2" s="1"/>
  <c r="J61" i="2"/>
  <c r="J62" i="2"/>
  <c r="J74" i="2" s="1"/>
  <c r="J59" i="2"/>
  <c r="J55" i="2"/>
  <c r="J54" i="2"/>
  <c r="J51" i="2"/>
  <c r="J73" i="2" s="1"/>
  <c r="J49" i="2"/>
  <c r="J47" i="2"/>
  <c r="J70" i="2"/>
  <c r="J71" i="2" s="1"/>
  <c r="I70" i="2"/>
  <c r="I71" i="2"/>
  <c r="I73" i="2"/>
  <c r="I74" i="2"/>
  <c r="I75" i="2"/>
  <c r="J67" i="2"/>
  <c r="H75" i="2"/>
  <c r="H74" i="2"/>
  <c r="H73" i="2"/>
  <c r="H71" i="2"/>
  <c r="H70" i="2"/>
  <c r="G74" i="2"/>
  <c r="G73" i="2"/>
  <c r="G75" i="2" s="1"/>
  <c r="G70" i="2"/>
  <c r="G71" i="2" s="1"/>
  <c r="H68" i="2"/>
  <c r="H67" i="2"/>
  <c r="H64" i="2"/>
  <c r="H63" i="2"/>
  <c r="H60" i="2"/>
  <c r="H58" i="2"/>
  <c r="H57" i="2"/>
  <c r="H56" i="2"/>
  <c r="H62" i="2"/>
  <c r="H59" i="2"/>
  <c r="H55" i="2"/>
  <c r="H54" i="2"/>
  <c r="H50" i="2"/>
  <c r="H48" i="2"/>
  <c r="H51" i="2"/>
  <c r="H49" i="2"/>
  <c r="H47" i="2"/>
  <c r="H46" i="2"/>
  <c r="H45" i="2"/>
  <c r="H44" i="2"/>
  <c r="H43" i="2"/>
  <c r="J42" i="2"/>
  <c r="H42" i="2"/>
  <c r="I61" i="2"/>
  <c r="I65" i="2" s="1"/>
  <c r="I68" i="2" s="1"/>
  <c r="G61" i="2"/>
  <c r="G65" i="2" s="1"/>
  <c r="G68" i="2" s="1"/>
  <c r="I46" i="2"/>
  <c r="I52" i="2" s="1"/>
  <c r="G46" i="2"/>
  <c r="G52" i="2" s="1"/>
  <c r="F3" i="2"/>
  <c r="H31" i="2"/>
  <c r="J31" i="2"/>
  <c r="J26" i="2"/>
  <c r="J25" i="2"/>
  <c r="J24" i="2"/>
  <c r="J23" i="2"/>
  <c r="J21" i="2"/>
  <c r="J20" i="2"/>
  <c r="J17" i="2"/>
  <c r="J18" i="2"/>
  <c r="J15" i="2"/>
  <c r="J12" i="2"/>
  <c r="J11" i="2"/>
  <c r="J13" i="2" s="1"/>
  <c r="J9" i="2"/>
  <c r="J8" i="2"/>
  <c r="J7" i="2"/>
  <c r="J5" i="2"/>
  <c r="J6" i="2"/>
  <c r="J4" i="2"/>
  <c r="J3" i="2"/>
  <c r="J2" i="2"/>
  <c r="J30" i="2"/>
  <c r="H30" i="2"/>
  <c r="I26" i="2"/>
  <c r="I25" i="2"/>
  <c r="I24" i="2"/>
  <c r="I23" i="2"/>
  <c r="I21" i="2"/>
  <c r="I20" i="2"/>
  <c r="H26" i="2"/>
  <c r="H25" i="2"/>
  <c r="H24" i="2"/>
  <c r="H23" i="2"/>
  <c r="H21" i="2"/>
  <c r="H20" i="2"/>
  <c r="H17" i="2"/>
  <c r="H15" i="2"/>
  <c r="H12" i="2"/>
  <c r="H11" i="2"/>
  <c r="H13" i="2" s="1"/>
  <c r="H9" i="2"/>
  <c r="H8" i="2"/>
  <c r="H7" i="2"/>
  <c r="H5" i="2"/>
  <c r="H18" i="2"/>
  <c r="H6" i="2"/>
  <c r="H10" i="2" s="1"/>
  <c r="H4" i="2"/>
  <c r="H2" i="2"/>
  <c r="G26" i="2"/>
  <c r="G25" i="2"/>
  <c r="G24" i="2"/>
  <c r="G23" i="2"/>
  <c r="G21" i="2"/>
  <c r="G20" i="2"/>
  <c r="I17" i="2"/>
  <c r="G17" i="2"/>
  <c r="I13" i="2"/>
  <c r="G13" i="2"/>
  <c r="G6" i="2"/>
  <c r="G10" i="2" s="1"/>
  <c r="I6" i="2"/>
  <c r="I10" i="2" s="1"/>
  <c r="AA10" i="2" l="1"/>
  <c r="AA24" i="2" s="1"/>
  <c r="W10" i="2"/>
  <c r="W24" i="2" s="1"/>
  <c r="AG10" i="2"/>
  <c r="AG24" i="2" s="1"/>
  <c r="AF10" i="2"/>
  <c r="AF24" i="2" s="1"/>
  <c r="Y15" i="2"/>
  <c r="Z15" i="2"/>
  <c r="Y11" i="2"/>
  <c r="Z12" i="2"/>
  <c r="AA12" i="2" s="1"/>
  <c r="Z11" i="2"/>
  <c r="AB11" i="2" s="1"/>
  <c r="AA11" i="2"/>
  <c r="AB10" i="2"/>
  <c r="AB24" i="2" s="1"/>
  <c r="X10" i="2"/>
  <c r="X24" i="2" s="1"/>
  <c r="W14" i="2"/>
  <c r="AA7" i="2"/>
  <c r="N61" i="2"/>
  <c r="N65" i="2" s="1"/>
  <c r="L61" i="2"/>
  <c r="L65" i="2" s="1"/>
  <c r="N14" i="2"/>
  <c r="N16" i="2" s="1"/>
  <c r="L14" i="2"/>
  <c r="K14" i="2"/>
  <c r="K16" i="2" s="1"/>
  <c r="M14" i="2"/>
  <c r="M16" i="2" s="1"/>
  <c r="J65" i="2"/>
  <c r="J68" i="2" s="1"/>
  <c r="J75" i="2"/>
  <c r="J52" i="2"/>
  <c r="H61" i="2"/>
  <c r="H65" i="2" s="1"/>
  <c r="H52" i="2"/>
  <c r="J10" i="2"/>
  <c r="J14" i="2"/>
  <c r="J16" i="2" s="1"/>
  <c r="H14" i="2"/>
  <c r="H16" i="2" s="1"/>
  <c r="I14" i="2"/>
  <c r="I16" i="2" s="1"/>
  <c r="G14" i="2"/>
  <c r="G16" i="2" s="1"/>
  <c r="E85" i="2"/>
  <c r="F84" i="2"/>
  <c r="E84" i="2"/>
  <c r="F83" i="2"/>
  <c r="E83" i="2"/>
  <c r="F82" i="2"/>
  <c r="E82" i="2"/>
  <c r="E81" i="2"/>
  <c r="D85" i="2"/>
  <c r="D84" i="2"/>
  <c r="D83" i="2"/>
  <c r="D82" i="2"/>
  <c r="D81" i="2"/>
  <c r="F79" i="2"/>
  <c r="F85" i="2" s="1"/>
  <c r="E79" i="2"/>
  <c r="D79" i="2"/>
  <c r="F78" i="2"/>
  <c r="E78" i="2"/>
  <c r="D78" i="2"/>
  <c r="F89" i="2"/>
  <c r="E89" i="2"/>
  <c r="D89" i="2"/>
  <c r="F88" i="2"/>
  <c r="E88" i="2"/>
  <c r="E87" i="2"/>
  <c r="F87" i="2"/>
  <c r="D87" i="2"/>
  <c r="D77" i="2"/>
  <c r="F77" i="2"/>
  <c r="F74" i="2"/>
  <c r="F73" i="2"/>
  <c r="F75" i="2" s="1"/>
  <c r="F70" i="2"/>
  <c r="F71" i="2" s="1"/>
  <c r="F81" i="2" s="1"/>
  <c r="F68" i="2"/>
  <c r="F67" i="2"/>
  <c r="F64" i="2"/>
  <c r="F63" i="2"/>
  <c r="F60" i="2"/>
  <c r="F58" i="2"/>
  <c r="F57" i="2"/>
  <c r="F56" i="2"/>
  <c r="F62" i="2"/>
  <c r="F59" i="2"/>
  <c r="F55" i="2"/>
  <c r="F54" i="2"/>
  <c r="F51" i="2"/>
  <c r="F49" i="2"/>
  <c r="F50" i="2"/>
  <c r="F48" i="2"/>
  <c r="F47" i="2"/>
  <c r="F45" i="2"/>
  <c r="F44" i="2"/>
  <c r="F43" i="2"/>
  <c r="F46" i="2" s="1"/>
  <c r="F42" i="2"/>
  <c r="D74" i="2"/>
  <c r="D73" i="2"/>
  <c r="D75" i="2" s="1"/>
  <c r="D70" i="2"/>
  <c r="D71" i="2" s="1"/>
  <c r="D68" i="2"/>
  <c r="D67" i="2"/>
  <c r="D64" i="2"/>
  <c r="D63" i="2"/>
  <c r="D62" i="2"/>
  <c r="D60" i="2"/>
  <c r="D59" i="2"/>
  <c r="D58" i="2"/>
  <c r="D57" i="2"/>
  <c r="D56" i="2"/>
  <c r="D55" i="2"/>
  <c r="D54" i="2"/>
  <c r="D51" i="2"/>
  <c r="D50" i="2"/>
  <c r="D49" i="2"/>
  <c r="D48" i="2"/>
  <c r="D47" i="2"/>
  <c r="D45" i="2"/>
  <c r="D44" i="2"/>
  <c r="D43" i="2"/>
  <c r="D46" i="2" s="1"/>
  <c r="D42" i="2"/>
  <c r="E74" i="2"/>
  <c r="E75" i="2" s="1"/>
  <c r="E73" i="2"/>
  <c r="C74" i="2"/>
  <c r="C73" i="2"/>
  <c r="C75" i="2" s="1"/>
  <c r="E70" i="2"/>
  <c r="E71" i="2" s="1"/>
  <c r="C71" i="2"/>
  <c r="C70" i="2"/>
  <c r="C68" i="2"/>
  <c r="E68" i="2"/>
  <c r="C61" i="2"/>
  <c r="C65" i="2" s="1"/>
  <c r="C46" i="2"/>
  <c r="C52" i="2" s="1"/>
  <c r="E61" i="2"/>
  <c r="E65" i="2" s="1"/>
  <c r="E46" i="2"/>
  <c r="E52" i="2" s="1"/>
  <c r="F31" i="2"/>
  <c r="D30" i="2"/>
  <c r="F30" i="2"/>
  <c r="C17" i="2"/>
  <c r="E17" i="2"/>
  <c r="D17" i="2"/>
  <c r="F17" i="2"/>
  <c r="D18" i="2"/>
  <c r="F18" i="2"/>
  <c r="F20" i="2"/>
  <c r="F26" i="2"/>
  <c r="F25" i="2"/>
  <c r="F24" i="2"/>
  <c r="F23" i="2"/>
  <c r="F21" i="2"/>
  <c r="F15" i="2"/>
  <c r="F12" i="2"/>
  <c r="F11" i="2"/>
  <c r="F13" i="2" s="1"/>
  <c r="F9" i="2"/>
  <c r="F8" i="2"/>
  <c r="F7" i="2"/>
  <c r="F5" i="2"/>
  <c r="F6" i="2" s="1"/>
  <c r="F10" i="2" s="1"/>
  <c r="F4" i="2"/>
  <c r="F2" i="2"/>
  <c r="E21" i="2"/>
  <c r="D21" i="2"/>
  <c r="D26" i="2"/>
  <c r="D25" i="2"/>
  <c r="D24" i="2"/>
  <c r="D23" i="2"/>
  <c r="D15" i="2"/>
  <c r="D12" i="2"/>
  <c r="D11" i="2"/>
  <c r="D13" i="2" s="1"/>
  <c r="D9" i="2"/>
  <c r="D8" i="2"/>
  <c r="D7" i="2"/>
  <c r="D5" i="2"/>
  <c r="D4" i="2"/>
  <c r="E26" i="2"/>
  <c r="E25" i="2"/>
  <c r="E24" i="2"/>
  <c r="E23" i="2"/>
  <c r="C26" i="2"/>
  <c r="C25" i="2"/>
  <c r="C24" i="2"/>
  <c r="C23" i="2"/>
  <c r="E20" i="2"/>
  <c r="E13" i="2"/>
  <c r="C13" i="2"/>
  <c r="E6" i="2"/>
  <c r="E10" i="2" s="1"/>
  <c r="C6" i="2"/>
  <c r="C10" i="2" s="1"/>
  <c r="S88" i="2"/>
  <c r="R88" i="2"/>
  <c r="R87" i="2"/>
  <c r="Q87" i="2"/>
  <c r="Q82" i="2"/>
  <c r="R78" i="2"/>
  <c r="R82" i="2" s="1"/>
  <c r="Q78" i="2"/>
  <c r="R74" i="2"/>
  <c r="Q74" i="2"/>
  <c r="R73" i="2"/>
  <c r="R75" i="2" s="1"/>
  <c r="Q73" i="2"/>
  <c r="R61" i="2"/>
  <c r="R65" i="2" s="1"/>
  <c r="R68" i="2" s="1"/>
  <c r="Q61" i="2"/>
  <c r="Q65" i="2" s="1"/>
  <c r="Q68" i="2" s="1"/>
  <c r="R52" i="2"/>
  <c r="R70" i="2" s="1"/>
  <c r="R71" i="2" s="1"/>
  <c r="R81" i="2" s="1"/>
  <c r="R46" i="2"/>
  <c r="Q46" i="2"/>
  <c r="Q52" i="2" s="1"/>
  <c r="Q70" i="2" s="1"/>
  <c r="Q71" i="2" s="1"/>
  <c r="Q81" i="2" s="1"/>
  <c r="R33" i="2"/>
  <c r="R37" i="2" s="1"/>
  <c r="Q33" i="2"/>
  <c r="S31" i="2"/>
  <c r="R31" i="2"/>
  <c r="Q31" i="2"/>
  <c r="S20" i="2"/>
  <c r="R20" i="2"/>
  <c r="X14" i="2" l="1"/>
  <c r="W16" i="2"/>
  <c r="W26" i="2"/>
  <c r="AC11" i="2"/>
  <c r="AA13" i="2"/>
  <c r="AA14" i="2" s="1"/>
  <c r="AB12" i="2"/>
  <c r="Z13" i="2"/>
  <c r="Z14" i="2" s="1"/>
  <c r="Y13" i="2"/>
  <c r="Y14" i="2" s="1"/>
  <c r="AB7" i="2"/>
  <c r="L16" i="2"/>
  <c r="L26" i="2"/>
  <c r="F61" i="2"/>
  <c r="F65" i="2" s="1"/>
  <c r="F52" i="2"/>
  <c r="D61" i="2"/>
  <c r="D65" i="2" s="1"/>
  <c r="D52" i="2"/>
  <c r="F14" i="2"/>
  <c r="F16" i="2" s="1"/>
  <c r="D6" i="2"/>
  <c r="D10" i="2" s="1"/>
  <c r="D14" i="2" s="1"/>
  <c r="D16" i="2" s="1"/>
  <c r="C14" i="2"/>
  <c r="C16" i="2" s="1"/>
  <c r="E14" i="2"/>
  <c r="E16" i="2" s="1"/>
  <c r="R79" i="2"/>
  <c r="Q75" i="2"/>
  <c r="Q79" i="2" s="1"/>
  <c r="R83" i="2"/>
  <c r="U88" i="2"/>
  <c r="T88" i="2"/>
  <c r="T87" i="2"/>
  <c r="S87" i="2"/>
  <c r="S82" i="2"/>
  <c r="T78" i="2"/>
  <c r="T82" i="2" s="1"/>
  <c r="S78" i="2"/>
  <c r="U31" i="2"/>
  <c r="T31" i="2"/>
  <c r="S33" i="2"/>
  <c r="S37" i="2" s="1"/>
  <c r="T33" i="2"/>
  <c r="T37" i="2" s="1"/>
  <c r="T75" i="2"/>
  <c r="S73" i="2"/>
  <c r="T73" i="2"/>
  <c r="V74" i="2"/>
  <c r="U74" i="2"/>
  <c r="S74" i="2"/>
  <c r="S75" i="2" s="1"/>
  <c r="T74" i="2"/>
  <c r="T68" i="2"/>
  <c r="U61" i="2"/>
  <c r="T61" i="2"/>
  <c r="T65" i="2" s="1"/>
  <c r="S61" i="2"/>
  <c r="S65" i="2" s="1"/>
  <c r="S68" i="2" s="1"/>
  <c r="V61" i="2"/>
  <c r="T46" i="2"/>
  <c r="T52" i="2" s="1"/>
  <c r="T70" i="2" s="1"/>
  <c r="T71" i="2" s="1"/>
  <c r="T81" i="2" s="1"/>
  <c r="S46" i="2"/>
  <c r="S52" i="2" s="1"/>
  <c r="U20" i="2"/>
  <c r="T20" i="2"/>
  <c r="U78" i="2"/>
  <c r="V78" i="2"/>
  <c r="V82" i="2" s="1"/>
  <c r="AA16" i="2" l="1"/>
  <c r="Z16" i="2"/>
  <c r="Z26" i="2"/>
  <c r="Y16" i="2"/>
  <c r="Y26" i="2"/>
  <c r="X16" i="2"/>
  <c r="X26" i="2"/>
  <c r="W25" i="2"/>
  <c r="W17" i="2"/>
  <c r="AC12" i="2"/>
  <c r="AD12" i="2"/>
  <c r="AC13" i="2"/>
  <c r="AC14" i="2" s="1"/>
  <c r="AD11" i="2"/>
  <c r="AB13" i="2"/>
  <c r="AB14" i="2" s="1"/>
  <c r="AC7" i="2"/>
  <c r="L25" i="2"/>
  <c r="L17" i="2"/>
  <c r="A82" i="2"/>
  <c r="Q83" i="2"/>
  <c r="T79" i="2"/>
  <c r="T83" i="2"/>
  <c r="S70" i="2"/>
  <c r="S71" i="2" s="1"/>
  <c r="S81" i="2" s="1"/>
  <c r="S79" i="2"/>
  <c r="U82" i="2"/>
  <c r="C27" i="1"/>
  <c r="V31" i="2"/>
  <c r="U33" i="2"/>
  <c r="U37" i="2" s="1"/>
  <c r="V33" i="2"/>
  <c r="C29" i="1" s="1"/>
  <c r="U87" i="2"/>
  <c r="V87" i="2"/>
  <c r="V88" i="2"/>
  <c r="C28" i="1"/>
  <c r="U73" i="2"/>
  <c r="C10" i="1"/>
  <c r="V73" i="2"/>
  <c r="U46" i="2"/>
  <c r="U52" i="2" s="1"/>
  <c r="U65" i="2"/>
  <c r="U68" i="2" s="1"/>
  <c r="V65" i="2"/>
  <c r="V68" i="2" s="1"/>
  <c r="V46" i="2"/>
  <c r="V52" i="2" s="1"/>
  <c r="D11" i="1"/>
  <c r="D10" i="1"/>
  <c r="D9" i="1"/>
  <c r="D7" i="1"/>
  <c r="D31" i="1"/>
  <c r="C7" i="1"/>
  <c r="V20" i="2"/>
  <c r="U13" i="2"/>
  <c r="T13" i="2"/>
  <c r="S13" i="2"/>
  <c r="R13" i="2"/>
  <c r="Q13" i="2"/>
  <c r="U6" i="2"/>
  <c r="U10" i="2" s="1"/>
  <c r="U24" i="2" s="1"/>
  <c r="T6" i="2"/>
  <c r="S6" i="2"/>
  <c r="R6" i="2"/>
  <c r="Q6" i="2"/>
  <c r="V13" i="2"/>
  <c r="V6" i="2"/>
  <c r="V10" i="2" s="1"/>
  <c r="V24" i="2" s="1"/>
  <c r="AA25" i="2" l="1"/>
  <c r="AA17" i="2"/>
  <c r="Z17" i="2"/>
  <c r="Z25" i="2"/>
  <c r="Y17" i="2"/>
  <c r="Y25" i="2"/>
  <c r="X17" i="2"/>
  <c r="X25" i="2"/>
  <c r="AD13" i="2"/>
  <c r="AD14" i="2" s="1"/>
  <c r="AE11" i="2"/>
  <c r="AE12" i="2"/>
  <c r="AF12" i="2"/>
  <c r="AG12" i="2"/>
  <c r="AH12" i="2"/>
  <c r="AE7" i="2"/>
  <c r="AD7" i="2"/>
  <c r="Q10" i="2"/>
  <c r="Q24" i="2" s="1"/>
  <c r="Q23" i="2"/>
  <c r="R10" i="2"/>
  <c r="R24" i="2" s="1"/>
  <c r="R23" i="2"/>
  <c r="S83" i="2"/>
  <c r="T10" i="2"/>
  <c r="T24" i="2" s="1"/>
  <c r="T23" i="2"/>
  <c r="S10" i="2"/>
  <c r="S24" i="2" s="1"/>
  <c r="S23" i="2"/>
  <c r="Q14" i="2"/>
  <c r="V37" i="2"/>
  <c r="T14" i="2"/>
  <c r="V70" i="2"/>
  <c r="V71" i="2" s="1"/>
  <c r="V75" i="2"/>
  <c r="V79" i="2" s="1"/>
  <c r="V23" i="2"/>
  <c r="U70" i="2"/>
  <c r="U71" i="2" s="1"/>
  <c r="U81" i="2" s="1"/>
  <c r="U23" i="2"/>
  <c r="S14" i="2"/>
  <c r="C9" i="1"/>
  <c r="C11" i="1" s="1"/>
  <c r="U75" i="2"/>
  <c r="U79" i="2" s="1"/>
  <c r="U14" i="2"/>
  <c r="V14" i="2"/>
  <c r="C8" i="1"/>
  <c r="C37" i="1" s="1"/>
  <c r="AE13" i="2" l="1"/>
  <c r="AE14" i="2" s="1"/>
  <c r="AF11" i="2"/>
  <c r="AF13" i="2" s="1"/>
  <c r="AF14" i="2" s="1"/>
  <c r="AG11" i="2"/>
  <c r="AG13" i="2" s="1"/>
  <c r="AG14" i="2" s="1"/>
  <c r="AF7" i="2"/>
  <c r="AH7" i="2" s="1"/>
  <c r="AG7" i="2"/>
  <c r="A81" i="2"/>
  <c r="Q16" i="2"/>
  <c r="Q26" i="2"/>
  <c r="R14" i="2"/>
  <c r="S16" i="2"/>
  <c r="S26" i="2"/>
  <c r="C36" i="1"/>
  <c r="V81" i="2"/>
  <c r="T16" i="2"/>
  <c r="T26" i="2"/>
  <c r="U83" i="2"/>
  <c r="V83" i="2"/>
  <c r="V16" i="2"/>
  <c r="V85" i="2" s="1"/>
  <c r="V26" i="2"/>
  <c r="U26" i="2"/>
  <c r="U16" i="2"/>
  <c r="U85" i="2" s="1"/>
  <c r="C12" i="1"/>
  <c r="AH11" i="2" l="1"/>
  <c r="AH13" i="2" s="1"/>
  <c r="AH14" i="2" s="1"/>
  <c r="Q25" i="2"/>
  <c r="Q17" i="2"/>
  <c r="Q84" i="2" s="1"/>
  <c r="Q85" i="2"/>
  <c r="T25" i="2"/>
  <c r="T17" i="2"/>
  <c r="T84" i="2" s="1"/>
  <c r="T85" i="2"/>
  <c r="S25" i="2"/>
  <c r="S17" i="2"/>
  <c r="S84" i="2" s="1"/>
  <c r="S85" i="2"/>
  <c r="R16" i="2"/>
  <c r="R26" i="2"/>
  <c r="A83" i="2"/>
  <c r="C40" i="1"/>
  <c r="C38" i="1"/>
  <c r="C39" i="1"/>
  <c r="V25" i="2"/>
  <c r="V17" i="2"/>
  <c r="V84" i="2" s="1"/>
  <c r="U25" i="2"/>
  <c r="U17" i="2"/>
  <c r="U84" i="2" s="1"/>
  <c r="A85" i="2" l="1"/>
  <c r="R25" i="2"/>
  <c r="R17" i="2"/>
  <c r="R84" i="2" s="1"/>
  <c r="A84" i="2" s="1"/>
  <c r="R85" i="2"/>
  <c r="AE16" i="2" l="1"/>
  <c r="AE25" i="2" s="1"/>
  <c r="AE17" i="2"/>
  <c r="AG26" i="2"/>
  <c r="AG16" i="2"/>
  <c r="AG25" i="2" s="1"/>
  <c r="AC26" i="2"/>
  <c r="AC16" i="2"/>
  <c r="AC17" i="2" s="1"/>
  <c r="AD16" i="2"/>
  <c r="AD25" i="2" s="1"/>
  <c r="AD26" i="2"/>
  <c r="AF26" i="2"/>
  <c r="AF16" i="2"/>
  <c r="AF25" i="2" s="1"/>
  <c r="AB26" i="2"/>
  <c r="AB16" i="2"/>
  <c r="AE26" i="2"/>
  <c r="AH26" i="2"/>
  <c r="AH16" i="2"/>
  <c r="AH25" i="2" s="1"/>
  <c r="AI16" i="2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AG17" i="2" l="1"/>
  <c r="AK25" i="2"/>
  <c r="AK27" i="2" s="1"/>
  <c r="AK28" i="2" s="1"/>
  <c r="AC25" i="2"/>
  <c r="AF17" i="2"/>
  <c r="AB17" i="2"/>
  <c r="AB25" i="2"/>
  <c r="AH17" i="2"/>
  <c r="AD17" i="2"/>
  <c r="AK30" i="2" l="1"/>
</calcChain>
</file>

<file path=xl/sharedStrings.xml><?xml version="1.0" encoding="utf-8"?>
<sst xmlns="http://schemas.openxmlformats.org/spreadsheetml/2006/main" count="203" uniqueCount="131">
  <si>
    <t>£WRK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</si>
  <si>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</si>
  <si>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</si>
  <si>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</si>
  <si>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</si>
  <si>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</si>
  <si>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</si>
  <si>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</si>
  <si>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</si>
  <si>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</si>
  <si>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</si>
  <si>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</si>
  <si>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</si>
  <si>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</si>
  <si>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</si>
  <si>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TheWorks.co.uk Plc.</t>
  </si>
  <si>
    <t>Key Events</t>
  </si>
  <si>
    <t>HQ</t>
  </si>
  <si>
    <t>Founded</t>
  </si>
  <si>
    <t>IPO</t>
  </si>
  <si>
    <t>Stores</t>
  </si>
  <si>
    <t>Inventory</t>
  </si>
  <si>
    <t>Headcount</t>
  </si>
  <si>
    <t>Update</t>
  </si>
  <si>
    <t>IR</t>
  </si>
  <si>
    <t>Birmingham, UK</t>
  </si>
  <si>
    <t>Link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</si>
  <si>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</si>
  <si>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</si>
  <si>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</si>
  <si>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</si>
  <si>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</si>
  <si>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</si>
  <si>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</si>
  <si>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</si>
  <si>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</si>
  <si>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</si>
  <si>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</si>
  <si>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</si>
  <si>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</si>
  <si>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</si>
  <si>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</si>
  <si>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</si>
  <si>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</si>
  <si>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</si>
  <si>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Gavin Peck</t>
  </si>
  <si>
    <t>Stephen Alldridge</t>
  </si>
  <si>
    <t>Revenue</t>
  </si>
  <si>
    <t>COGS</t>
  </si>
  <si>
    <t>Gross Profit</t>
  </si>
  <si>
    <t>Other Operating Income</t>
  </si>
  <si>
    <t>Distribution Expense</t>
  </si>
  <si>
    <t>Administrative Expense</t>
  </si>
  <si>
    <t>Operating Profit</t>
  </si>
  <si>
    <t>Finance Income</t>
  </si>
  <si>
    <t>Finance Expense</t>
  </si>
  <si>
    <t>Net Finance Expense</t>
  </si>
  <si>
    <t>Pretax Income</t>
  </si>
  <si>
    <t>Taxes</t>
  </si>
  <si>
    <t>Net Income</t>
  </si>
  <si>
    <t>EPS</t>
  </si>
  <si>
    <t>Revenue Y/Y</t>
  </si>
  <si>
    <t>Revenue H/H</t>
  </si>
  <si>
    <t>Tax Rate</t>
  </si>
  <si>
    <t>Gross Margin</t>
  </si>
  <si>
    <t>Operating Margin</t>
  </si>
  <si>
    <t>Net Margin</t>
  </si>
  <si>
    <t>Balance Sheet</t>
  </si>
  <si>
    <t>Intangibles</t>
  </si>
  <si>
    <t>PP&amp;E</t>
  </si>
  <si>
    <t>ROU</t>
  </si>
  <si>
    <t>Deferred Taxes</t>
  </si>
  <si>
    <t>Total NCA</t>
  </si>
  <si>
    <t>Inventories</t>
  </si>
  <si>
    <t>Trade &amp; A/R</t>
  </si>
  <si>
    <t>Deferred Financial Assets</t>
  </si>
  <si>
    <t>Current Tax Asset</t>
  </si>
  <si>
    <t>Assets</t>
  </si>
  <si>
    <t>Lease Liabilities</t>
  </si>
  <si>
    <t>Trade &amp; A/P</t>
  </si>
  <si>
    <t>Provisions</t>
  </si>
  <si>
    <t>Derivative Financial Liability</t>
  </si>
  <si>
    <t>Current Tax Liability</t>
  </si>
  <si>
    <t>TCL</t>
  </si>
  <si>
    <t>Provisoins</t>
  </si>
  <si>
    <t>Liabilities</t>
  </si>
  <si>
    <t>S/E</t>
  </si>
  <si>
    <t>S/E+L</t>
  </si>
  <si>
    <t>Book Value</t>
  </si>
  <si>
    <t>Book Value per Share</t>
  </si>
  <si>
    <t>Share Price</t>
  </si>
  <si>
    <t>P/B</t>
  </si>
  <si>
    <t>P/S</t>
  </si>
  <si>
    <t>EV/S</t>
  </si>
  <si>
    <t>P/E</t>
  </si>
  <si>
    <t>EV/E</t>
  </si>
  <si>
    <t>Valuation Metrics</t>
  </si>
  <si>
    <t>Inventory/Revenue</t>
  </si>
  <si>
    <t>Inventory Y/Y</t>
  </si>
  <si>
    <t>Non-Finance Metrics</t>
  </si>
  <si>
    <t>Store Count</t>
  </si>
  <si>
    <t>Employees</t>
  </si>
  <si>
    <t>Support Centre Colleagues</t>
  </si>
  <si>
    <t>Store Colleagues</t>
  </si>
  <si>
    <t>Warehouse Collegues</t>
  </si>
  <si>
    <t>Employees Y/Y</t>
  </si>
  <si>
    <t>Store Count Y/Y</t>
  </si>
  <si>
    <t>Bank Overdraft</t>
  </si>
  <si>
    <t>Loans</t>
  </si>
  <si>
    <t>-</t>
  </si>
  <si>
    <t>H119</t>
  </si>
  <si>
    <t>H118</t>
  </si>
  <si>
    <t>H218</t>
  </si>
  <si>
    <t>H219</t>
  </si>
  <si>
    <t>H120</t>
  </si>
  <si>
    <t>H220</t>
  </si>
  <si>
    <t>H221</t>
  </si>
  <si>
    <t>H122</t>
  </si>
  <si>
    <t>H222</t>
  </si>
  <si>
    <t>H123</t>
  </si>
  <si>
    <t>Inventory H/H</t>
  </si>
  <si>
    <t>H121</t>
  </si>
  <si>
    <t>H223</t>
  </si>
  <si>
    <t>(EST.)</t>
  </si>
  <si>
    <t>Maturity Rate</t>
  </si>
  <si>
    <t>Discount Rate</t>
  </si>
  <si>
    <t>NPV</t>
  </si>
  <si>
    <t>Total Value</t>
  </si>
  <si>
    <t>Per Share</t>
  </si>
  <si>
    <t>Current SP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</si>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</sst>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\x"/>
    <numFmt numFmtId="169" formatCode="#,##0.0_ ;[Red]\-#,##0.0\ "/>
    <numFmt numFmtId="170" formatCode="0.0%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sz val="8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4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8"/>
      <color theme="1" tint="0.499984740745262"/>
      <name val="Arial"/>
      <family val="2"/>
    </font>
    <font>
      <i/>
      <sz val="10"/>
      <color theme="4"/>
      <name val="Arial"/>
      <family val="2"/>
    </font>
    <font>
      <i/>
      <sz val="10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8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3" borderId="4" xfId="0" applyFont="1" applyFill="1" applyBorder="1"/>
    <xf numFmtId="0" fontId="1" fillId="3" borderId="6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0" borderId="0" xfId="1" applyFont="1" applyAlignment="1">
      <alignment horizontal="right"/>
    </xf>
    <xf numFmtId="14" fontId="6" fillId="0" borderId="0" xfId="0" applyNumberFormat="1" applyFont="1" applyAlignment="1">
      <alignment horizontal="right"/>
    </xf>
    <xf numFmtId="164" fontId="2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0" fontId="8" fillId="0" borderId="0" xfId="0" applyFont="1"/>
    <xf numFmtId="16" fontId="5" fillId="0" borderId="0" xfId="0" applyNumberFormat="1" applyFont="1" applyAlignment="1">
      <alignment horizontal="right"/>
    </xf>
    <xf numFmtId="16" fontId="6" fillId="0" borderId="0" xfId="0" applyNumberFormat="1" applyFont="1" applyAlignment="1">
      <alignment horizontal="right"/>
    </xf>
    <xf numFmtId="3" fontId="1" fillId="0" borderId="0" xfId="0" applyNumberFormat="1" applyFont="1"/>
    <xf numFmtId="3" fontId="5" fillId="0" borderId="0" xfId="0" applyNumberFormat="1" applyFont="1" applyAlignment="1">
      <alignment horizontal="left" indent="1"/>
    </xf>
    <xf numFmtId="3" fontId="5" fillId="0" borderId="0" xfId="0" applyNumberFormat="1" applyFont="1"/>
    <xf numFmtId="0" fontId="9" fillId="0" borderId="0" xfId="0" applyFont="1"/>
    <xf numFmtId="3" fontId="9" fillId="0" borderId="0" xfId="0" applyNumberFormat="1" applyFont="1"/>
    <xf numFmtId="4" fontId="1" fillId="0" borderId="0" xfId="0" applyNumberFormat="1" applyFont="1"/>
    <xf numFmtId="165" fontId="1" fillId="0" borderId="0" xfId="0" applyNumberFormat="1" applyFont="1"/>
    <xf numFmtId="0" fontId="9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right"/>
    </xf>
    <xf numFmtId="0" fontId="2" fillId="5" borderId="0" xfId="0" applyFont="1" applyFill="1" applyAlignment="1">
      <alignment horizontal="right"/>
    </xf>
    <xf numFmtId="16" fontId="6" fillId="5" borderId="0" xfId="0" applyNumberFormat="1" applyFont="1" applyFill="1" applyAlignment="1">
      <alignment horizontal="right"/>
    </xf>
    <xf numFmtId="164" fontId="2" fillId="5" borderId="0" xfId="0" applyNumberFormat="1" applyFont="1" applyFill="1"/>
    <xf numFmtId="164" fontId="1" fillId="5" borderId="0" xfId="0" applyNumberFormat="1" applyFont="1" applyFill="1"/>
    <xf numFmtId="2" fontId="1" fillId="5" borderId="0" xfId="0" applyNumberFormat="1" applyFont="1" applyFill="1"/>
    <xf numFmtId="0" fontId="1" fillId="5" borderId="0" xfId="0" applyFont="1" applyFill="1"/>
    <xf numFmtId="9" fontId="2" fillId="5" borderId="0" xfId="0" applyNumberFormat="1" applyFont="1" applyFill="1" applyAlignment="1">
      <alignment horizontal="right"/>
    </xf>
    <xf numFmtId="9" fontId="1" fillId="5" borderId="0" xfId="0" applyNumberFormat="1" applyFont="1" applyFill="1"/>
    <xf numFmtId="0" fontId="9" fillId="5" borderId="0" xfId="0" applyFont="1" applyFill="1"/>
    <xf numFmtId="3" fontId="1" fillId="5" borderId="0" xfId="0" applyNumberFormat="1" applyFont="1" applyFill="1"/>
    <xf numFmtId="3" fontId="5" fillId="5" borderId="0" xfId="0" applyNumberFormat="1" applyFont="1" applyFill="1"/>
    <xf numFmtId="4" fontId="1" fillId="5" borderId="0" xfId="0" applyNumberFormat="1" applyFont="1" applyFill="1"/>
    <xf numFmtId="165" fontId="1" fillId="5" borderId="0" xfId="0" applyNumberFormat="1" applyFont="1" applyFill="1"/>
    <xf numFmtId="14" fontId="6" fillId="5" borderId="0" xfId="0" applyNumberFormat="1" applyFont="1" applyFill="1" applyAlignment="1">
      <alignment horizontal="right"/>
    </xf>
    <xf numFmtId="9" fontId="2" fillId="5" borderId="0" xfId="0" applyNumberFormat="1" applyFont="1" applyFill="1"/>
    <xf numFmtId="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9" fontId="1" fillId="5" borderId="0" xfId="0" applyNumberFormat="1" applyFont="1" applyFill="1" applyAlignment="1">
      <alignment horizontal="right"/>
    </xf>
    <xf numFmtId="0" fontId="10" fillId="0" borderId="0" xfId="0" applyFont="1"/>
    <xf numFmtId="9" fontId="10" fillId="5" borderId="0" xfId="0" applyNumberFormat="1" applyFont="1" applyFill="1"/>
    <xf numFmtId="9" fontId="10" fillId="0" borderId="0" xfId="0" applyNumberFormat="1" applyFont="1"/>
    <xf numFmtId="3" fontId="1" fillId="0" borderId="0" xfId="0" applyNumberFormat="1" applyFont="1" applyAlignment="1">
      <alignment horizontal="right"/>
    </xf>
    <xf numFmtId="3" fontId="1" fillId="5" borderId="0" xfId="0" applyNumberFormat="1" applyFont="1" applyFill="1" applyAlignment="1">
      <alignment horizontal="right"/>
    </xf>
    <xf numFmtId="3" fontId="5" fillId="0" borderId="0" xfId="0" applyNumberFormat="1" applyFont="1" applyAlignment="1">
      <alignment horizontal="right"/>
    </xf>
    <xf numFmtId="3" fontId="5" fillId="5" borderId="0" xfId="0" applyNumberFormat="1" applyFont="1" applyFill="1" applyAlignment="1">
      <alignment horizontal="right"/>
    </xf>
    <xf numFmtId="0" fontId="9" fillId="5" borderId="0" xfId="0" applyFont="1" applyFill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5" fontId="1" fillId="4" borderId="7" xfId="0" applyNumberFormat="1" applyFont="1" applyFill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4" fontId="1" fillId="0" borderId="0" xfId="0" applyNumberFormat="1" applyFont="1" applyFill="1"/>
    <xf numFmtId="164" fontId="2" fillId="0" borderId="0" xfId="0" applyNumberFormat="1" applyFont="1" applyFill="1"/>
    <xf numFmtId="0" fontId="1" fillId="0" borderId="0" xfId="0" applyFont="1" applyFill="1"/>
    <xf numFmtId="0" fontId="10" fillId="6" borderId="0" xfId="0" applyFont="1" applyFill="1"/>
    <xf numFmtId="0" fontId="11" fillId="6" borderId="0" xfId="0" applyFont="1" applyFill="1" applyAlignment="1">
      <alignment horizontal="right"/>
    </xf>
    <xf numFmtId="0" fontId="12" fillId="6" borderId="0" xfId="0" applyFont="1" applyFill="1" applyAlignment="1">
      <alignment horizontal="right"/>
    </xf>
    <xf numFmtId="16" fontId="12" fillId="6" borderId="0" xfId="0" applyNumberFormat="1" applyFont="1" applyFill="1" applyAlignment="1">
      <alignment horizontal="right"/>
    </xf>
    <xf numFmtId="164" fontId="11" fillId="6" borderId="0" xfId="0" applyNumberFormat="1" applyFont="1" applyFill="1"/>
    <xf numFmtId="164" fontId="10" fillId="6" borderId="0" xfId="0" applyNumberFormat="1" applyFont="1" applyFill="1"/>
    <xf numFmtId="4" fontId="10" fillId="6" borderId="0" xfId="0" applyNumberFormat="1" applyFont="1" applyFill="1"/>
    <xf numFmtId="9" fontId="11" fillId="6" borderId="0" xfId="0" applyNumberFormat="1" applyFont="1" applyFill="1"/>
    <xf numFmtId="9" fontId="10" fillId="6" borderId="0" xfId="0" applyNumberFormat="1" applyFont="1" applyFill="1"/>
    <xf numFmtId="0" fontId="13" fillId="6" borderId="0" xfId="0" applyFont="1" applyFill="1"/>
    <xf numFmtId="3" fontId="10" fillId="6" borderId="0" xfId="0" applyNumberFormat="1" applyFont="1" applyFill="1"/>
    <xf numFmtId="3" fontId="14" fillId="6" borderId="0" xfId="0" applyNumberFormat="1" applyFont="1" applyFill="1"/>
    <xf numFmtId="0" fontId="11" fillId="6" borderId="0" xfId="0" applyFont="1" applyFill="1"/>
    <xf numFmtId="165" fontId="10" fillId="6" borderId="0" xfId="0" applyNumberFormat="1" applyFont="1" applyFill="1"/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16" fontId="12" fillId="0" borderId="0" xfId="0" applyNumberFormat="1" applyFont="1" applyAlignment="1">
      <alignment horizontal="right"/>
    </xf>
    <xf numFmtId="164" fontId="11" fillId="0" borderId="0" xfId="0" applyNumberFormat="1" applyFont="1"/>
    <xf numFmtId="164" fontId="10" fillId="0" borderId="0" xfId="0" applyNumberFormat="1" applyFont="1"/>
    <xf numFmtId="4" fontId="10" fillId="0" borderId="0" xfId="0" applyNumberFormat="1" applyFont="1"/>
    <xf numFmtId="9" fontId="11" fillId="0" borderId="0" xfId="0" applyNumberFormat="1" applyFont="1"/>
    <xf numFmtId="0" fontId="13" fillId="0" borderId="0" xfId="0" applyFont="1"/>
    <xf numFmtId="3" fontId="10" fillId="0" borderId="0" xfId="0" applyNumberFormat="1" applyFont="1"/>
    <xf numFmtId="3" fontId="14" fillId="0" borderId="0" xfId="0" applyNumberFormat="1" applyFont="1"/>
    <xf numFmtId="0" fontId="11" fillId="0" borderId="0" xfId="0" applyFont="1"/>
    <xf numFmtId="165" fontId="10" fillId="0" borderId="0" xfId="0" applyNumberFormat="1" applyFont="1"/>
    <xf numFmtId="9" fontId="1" fillId="6" borderId="0" xfId="0" applyNumberFormat="1" applyFont="1" applyFill="1" applyAlignment="1">
      <alignment horizontal="right"/>
    </xf>
    <xf numFmtId="0" fontId="1" fillId="3" borderId="1" xfId="0" applyFont="1" applyFill="1" applyBorder="1"/>
    <xf numFmtId="3" fontId="1" fillId="3" borderId="6" xfId="0" applyNumberFormat="1" applyFont="1" applyFill="1" applyBorder="1"/>
    <xf numFmtId="9" fontId="1" fillId="4" borderId="3" xfId="0" applyNumberFormat="1" applyFont="1" applyFill="1" applyBorder="1"/>
    <xf numFmtId="9" fontId="1" fillId="4" borderId="5" xfId="0" applyNumberFormat="1" applyFont="1" applyFill="1" applyBorder="1"/>
    <xf numFmtId="169" fontId="1" fillId="4" borderId="5" xfId="0" applyNumberFormat="1" applyFont="1" applyFill="1" applyBorder="1"/>
    <xf numFmtId="164" fontId="1" fillId="4" borderId="5" xfId="0" applyNumberFormat="1" applyFont="1" applyFill="1" applyBorder="1"/>
    <xf numFmtId="9" fontId="1" fillId="4" borderId="8" xfId="0" applyNumberFormat="1" applyFont="1" applyFill="1" applyBorder="1"/>
    <xf numFmtId="164" fontId="2" fillId="4" borderId="5" xfId="0" applyNumberFormat="1" applyFont="1" applyFill="1" applyBorder="1"/>
    <xf numFmtId="9" fontId="9" fillId="0" borderId="0" xfId="0" applyNumberFormat="1" applyFont="1"/>
    <xf numFmtId="170" fontId="1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0</xdr:row>
      <xdr:rowOff>38100</xdr:rowOff>
    </xdr:from>
    <xdr:to>
      <xdr:col>4</xdr:col>
      <xdr:colOff>266700</xdr:colOff>
      <xdr:row>3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FB208B-EEB9-16E5-837F-D0D9F9A8E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8100"/>
          <a:ext cx="55245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571500</xdr:colOff>
      <xdr:row>1</xdr:row>
      <xdr:rowOff>133350</xdr:rowOff>
    </xdr:from>
    <xdr:to>
      <xdr:col>27</xdr:col>
      <xdr:colOff>448594</xdr:colOff>
      <xdr:row>20</xdr:row>
      <xdr:rowOff>67095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041488-8D78-E0B2-6DB4-DC289CB2B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25100" y="295275"/>
          <a:ext cx="6582694" cy="30103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0</xdr:row>
      <xdr:rowOff>0</xdr:rowOff>
    </xdr:from>
    <xdr:to>
      <xdr:col>22</xdr:col>
      <xdr:colOff>9525</xdr:colOff>
      <xdr:row>93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1DB8F92-9154-E978-9B01-F1294753B3E6}"/>
            </a:ext>
          </a:extLst>
        </xdr:cNvPr>
        <xdr:cNvCxnSpPr/>
      </xdr:nvCxnSpPr>
      <xdr:spPr>
        <a:xfrm flipV="1">
          <a:off x="14325600" y="0"/>
          <a:ext cx="0" cy="138207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0</xdr:row>
      <xdr:rowOff>0</xdr:rowOff>
    </xdr:from>
    <xdr:to>
      <xdr:col>14</xdr:col>
      <xdr:colOff>9525</xdr:colOff>
      <xdr:row>93</xdr:row>
      <xdr:rowOff>57150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F0BDCA5-4AD9-414D-AE71-9CB04BD634B2}"/>
            </a:ext>
          </a:extLst>
        </xdr:cNvPr>
        <xdr:cNvCxnSpPr/>
      </xdr:nvCxnSpPr>
      <xdr:spPr>
        <a:xfrm flipV="1">
          <a:off x="9534525" y="0"/>
          <a:ext cx="0" cy="15116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orporate.theworks.co.uk/investor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corporate.theworks.co.uk/application/files/2016/5347/2367/annual-report-2019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corporate.theworks.co.uk/application/files/7716/5347/2368/annual-report-2021.pdf" TargetMode="External"/><Relationship Id="rId1" Type="http://schemas.openxmlformats.org/officeDocument/2006/relationships/hyperlink" Target="https://corporate.theworks.co.uk/application/files/6616/9341/6897/30.08.23_WRKS_AR23_pdf_for_web.pdf" TargetMode="External"/><Relationship Id="rId6" Type="http://schemas.openxmlformats.org/officeDocument/2006/relationships/hyperlink" Target="https://corporate.theworks.co.uk/application/files/1516/7419/8384/The_Works_FY23_interims_20.01.23.pdf" TargetMode="External"/><Relationship Id="rId5" Type="http://schemas.openxmlformats.org/officeDocument/2006/relationships/hyperlink" Target="https://corporate.theworks.co.uk/application/files/7816/5347/2370/interim-results-and-trading-update-results-statement-jan-2021.pdf" TargetMode="External"/><Relationship Id="rId4" Type="http://schemas.openxmlformats.org/officeDocument/2006/relationships/hyperlink" Target="https://corporate.theworks.co.uk/application/files/5416/5347/2371/TheWorks.co.uk_PLC_accounts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9C504-2D4A-46FE-A30E-B90A4990B83C}">
  <dimension ref="B2:P40"/>
  <sheetViews>
    <sheetView workbookViewId="0">
      <selection activeCell="C32" sqref="C32:D32"/>
    </sheetView>
  </sheetViews>
  <sheetFormatPr defaultRowHeight="12.75" x14ac:dyDescent="0.2"/>
  <cols>
    <col min="1" max="16384" width="9.140625" style="1"/>
  </cols>
  <sheetData>
    <row r="2" spans="2:16" x14ac:dyDescent="0.2">
      <c r="B2" s="2" t="s">
        <v>0</v>
      </c>
    </row>
    <row r="3" spans="2:16" x14ac:dyDescent="0.2">
      <c r="B3" s="2" t="s">
        <v>15</v>
      </c>
    </row>
    <row r="5" spans="2:16" x14ac:dyDescent="0.2">
      <c r="B5" s="72" t="s">
        <v>1</v>
      </c>
      <c r="C5" s="73"/>
      <c r="D5" s="74"/>
      <c r="G5" s="72" t="s">
        <v>16</v>
      </c>
      <c r="H5" s="73"/>
      <c r="I5" s="73"/>
      <c r="J5" s="73"/>
      <c r="K5" s="73"/>
      <c r="L5" s="73"/>
      <c r="M5" s="73"/>
      <c r="N5" s="73"/>
      <c r="O5" s="73"/>
      <c r="P5" s="74"/>
    </row>
    <row r="6" spans="2:16" x14ac:dyDescent="0.2">
      <c r="B6" s="3" t="s">
        <v>2</v>
      </c>
      <c r="C6" s="1">
        <v>0.40100000000000002</v>
      </c>
      <c r="D6" s="14"/>
      <c r="G6" s="16"/>
      <c r="H6" s="5"/>
      <c r="I6" s="5"/>
      <c r="J6" s="5"/>
      <c r="K6" s="5"/>
      <c r="L6" s="5"/>
      <c r="M6" s="5"/>
      <c r="N6" s="5"/>
      <c r="O6" s="5"/>
      <c r="P6" s="6"/>
    </row>
    <row r="7" spans="2:16" x14ac:dyDescent="0.2">
      <c r="B7" s="3" t="s">
        <v>3</v>
      </c>
      <c r="C7" s="1">
        <f>'Financial Model'!V18</f>
        <v>62.5</v>
      </c>
      <c r="D7" s="14" t="str">
        <f>$C$31</f>
        <v>FY23</v>
      </c>
      <c r="G7" s="16"/>
      <c r="H7" s="5"/>
      <c r="I7" s="5"/>
      <c r="J7" s="5"/>
      <c r="K7" s="5"/>
      <c r="L7" s="5"/>
      <c r="M7" s="5"/>
      <c r="N7" s="5"/>
      <c r="O7" s="5"/>
      <c r="P7" s="6"/>
    </row>
    <row r="8" spans="2:16" x14ac:dyDescent="0.2">
      <c r="B8" s="3" t="s">
        <v>4</v>
      </c>
      <c r="C8" s="12">
        <f>C6*C7</f>
        <v>25.0625</v>
      </c>
      <c r="D8" s="14"/>
      <c r="G8" s="16"/>
      <c r="H8" s="5"/>
      <c r="I8" s="5"/>
      <c r="J8" s="5"/>
      <c r="K8" s="5"/>
      <c r="L8" s="5"/>
      <c r="M8" s="5"/>
      <c r="N8" s="5"/>
      <c r="O8" s="5"/>
      <c r="P8" s="6"/>
    </row>
    <row r="9" spans="2:16" x14ac:dyDescent="0.2">
      <c r="B9" s="3" t="s">
        <v>5</v>
      </c>
      <c r="C9" s="12">
        <f>+'Financial Model'!V73</f>
        <v>10.196</v>
      </c>
      <c r="D9" s="14" t="str">
        <f t="shared" ref="D9:D11" si="0">$C$31</f>
        <v>FY23</v>
      </c>
      <c r="G9" s="16"/>
      <c r="H9" s="5"/>
      <c r="I9" s="5"/>
      <c r="J9" s="5"/>
      <c r="K9" s="5"/>
      <c r="L9" s="5"/>
      <c r="M9" s="5"/>
      <c r="N9" s="5"/>
      <c r="O9" s="5"/>
      <c r="P9" s="6"/>
    </row>
    <row r="10" spans="2:16" x14ac:dyDescent="0.2">
      <c r="B10" s="3" t="s">
        <v>6</v>
      </c>
      <c r="C10" s="12">
        <f>+'Financial Model'!V74</f>
        <v>1.048</v>
      </c>
      <c r="D10" s="14" t="str">
        <f t="shared" si="0"/>
        <v>FY23</v>
      </c>
      <c r="G10" s="16"/>
      <c r="H10" s="5"/>
      <c r="I10" s="5"/>
      <c r="J10" s="5"/>
      <c r="K10" s="5"/>
      <c r="L10" s="5"/>
      <c r="M10" s="5"/>
      <c r="N10" s="5"/>
      <c r="O10" s="5"/>
      <c r="P10" s="6"/>
    </row>
    <row r="11" spans="2:16" x14ac:dyDescent="0.2">
      <c r="B11" s="3" t="s">
        <v>7</v>
      </c>
      <c r="C11" s="12">
        <f>C9-C10</f>
        <v>9.1479999999999997</v>
      </c>
      <c r="D11" s="14" t="str">
        <f t="shared" si="0"/>
        <v>FY23</v>
      </c>
      <c r="G11" s="16"/>
      <c r="H11" s="5"/>
      <c r="I11" s="5"/>
      <c r="J11" s="5"/>
      <c r="K11" s="5"/>
      <c r="L11" s="5"/>
      <c r="M11" s="5"/>
      <c r="N11" s="5"/>
      <c r="O11" s="5"/>
      <c r="P11" s="6"/>
    </row>
    <row r="12" spans="2:16" x14ac:dyDescent="0.2">
      <c r="B12" s="4" t="s">
        <v>8</v>
      </c>
      <c r="C12" s="13">
        <f>C8-C11</f>
        <v>15.9145</v>
      </c>
      <c r="D12" s="15"/>
      <c r="G12" s="16"/>
      <c r="H12" s="5"/>
      <c r="I12" s="5"/>
      <c r="J12" s="5"/>
      <c r="K12" s="5"/>
      <c r="L12" s="5"/>
      <c r="M12" s="5"/>
      <c r="N12" s="5"/>
      <c r="O12" s="5"/>
      <c r="P12" s="6"/>
    </row>
    <row r="13" spans="2:16" x14ac:dyDescent="0.2">
      <c r="G13" s="16"/>
      <c r="H13" s="5"/>
      <c r="I13" s="5"/>
      <c r="J13" s="5"/>
      <c r="K13" s="5"/>
      <c r="L13" s="5"/>
      <c r="M13" s="5"/>
      <c r="N13" s="5"/>
      <c r="O13" s="5"/>
      <c r="P13" s="6"/>
    </row>
    <row r="14" spans="2:16" x14ac:dyDescent="0.2">
      <c r="G14" s="16"/>
      <c r="H14" s="5"/>
      <c r="I14" s="5"/>
      <c r="J14" s="5"/>
      <c r="K14" s="5"/>
      <c r="L14" s="5"/>
      <c r="M14" s="5"/>
      <c r="N14" s="5"/>
      <c r="O14" s="5"/>
      <c r="P14" s="6"/>
    </row>
    <row r="15" spans="2:16" x14ac:dyDescent="0.2">
      <c r="B15" s="72" t="s">
        <v>9</v>
      </c>
      <c r="C15" s="73"/>
      <c r="D15" s="74"/>
      <c r="G15" s="16"/>
      <c r="H15" s="5"/>
      <c r="I15" s="5"/>
      <c r="J15" s="5"/>
      <c r="K15" s="5"/>
      <c r="L15" s="5"/>
      <c r="M15" s="5"/>
      <c r="N15" s="5"/>
      <c r="O15" s="5"/>
      <c r="P15" s="6"/>
    </row>
    <row r="16" spans="2:16" x14ac:dyDescent="0.2">
      <c r="B16" s="10" t="s">
        <v>10</v>
      </c>
      <c r="C16" s="75" t="s">
        <v>45</v>
      </c>
      <c r="D16" s="76"/>
      <c r="G16" s="16"/>
      <c r="H16" s="5"/>
      <c r="I16" s="5"/>
      <c r="J16" s="5"/>
      <c r="K16" s="5"/>
      <c r="L16" s="5"/>
      <c r="M16" s="5"/>
      <c r="N16" s="5"/>
      <c r="O16" s="5"/>
      <c r="P16" s="6"/>
    </row>
    <row r="17" spans="2:16" x14ac:dyDescent="0.2">
      <c r="B17" s="10" t="s">
        <v>11</v>
      </c>
      <c r="C17" s="75" t="s">
        <v>46</v>
      </c>
      <c r="D17" s="76"/>
      <c r="G17" s="16"/>
      <c r="H17" s="5"/>
      <c r="I17" s="5"/>
      <c r="J17" s="5"/>
      <c r="K17" s="5"/>
      <c r="L17" s="5"/>
      <c r="M17" s="5"/>
      <c r="N17" s="5"/>
      <c r="O17" s="5"/>
      <c r="P17" s="6"/>
    </row>
    <row r="18" spans="2:16" x14ac:dyDescent="0.2">
      <c r="B18" s="10" t="s">
        <v>12</v>
      </c>
      <c r="C18" s="75"/>
      <c r="D18" s="76"/>
      <c r="G18" s="16"/>
      <c r="H18" s="5"/>
      <c r="I18" s="5"/>
      <c r="J18" s="5"/>
      <c r="K18" s="5"/>
      <c r="L18" s="5"/>
      <c r="M18" s="5"/>
      <c r="N18" s="5"/>
      <c r="O18" s="5"/>
      <c r="P18" s="6"/>
    </row>
    <row r="19" spans="2:16" x14ac:dyDescent="0.2">
      <c r="B19" s="11" t="s">
        <v>13</v>
      </c>
      <c r="C19" s="77"/>
      <c r="D19" s="78"/>
      <c r="G19" s="16"/>
      <c r="H19" s="5"/>
      <c r="I19" s="5"/>
      <c r="J19" s="5"/>
      <c r="K19" s="5"/>
      <c r="L19" s="5"/>
      <c r="M19" s="5"/>
      <c r="N19" s="5"/>
      <c r="O19" s="5"/>
      <c r="P19" s="6"/>
    </row>
    <row r="20" spans="2:16" x14ac:dyDescent="0.2">
      <c r="G20" s="16"/>
      <c r="H20" s="5"/>
      <c r="I20" s="5"/>
      <c r="J20" s="5"/>
      <c r="K20" s="5"/>
      <c r="L20" s="5"/>
      <c r="M20" s="5"/>
      <c r="N20" s="5"/>
      <c r="O20" s="5"/>
      <c r="P20" s="6"/>
    </row>
    <row r="21" spans="2:16" x14ac:dyDescent="0.2">
      <c r="G21" s="16"/>
      <c r="H21" s="5"/>
      <c r="I21" s="5"/>
      <c r="J21" s="5"/>
      <c r="K21" s="5"/>
      <c r="L21" s="5"/>
      <c r="M21" s="5"/>
      <c r="N21" s="5"/>
      <c r="O21" s="5"/>
      <c r="P21" s="6"/>
    </row>
    <row r="22" spans="2:16" x14ac:dyDescent="0.2">
      <c r="B22" s="72" t="s">
        <v>14</v>
      </c>
      <c r="C22" s="73"/>
      <c r="D22" s="74"/>
      <c r="G22" s="16"/>
      <c r="H22" s="5"/>
      <c r="I22" s="5"/>
      <c r="J22" s="5"/>
      <c r="K22" s="5"/>
      <c r="L22" s="5"/>
      <c r="M22" s="5"/>
      <c r="N22" s="5"/>
      <c r="O22" s="5"/>
      <c r="P22" s="6"/>
    </row>
    <row r="23" spans="2:16" x14ac:dyDescent="0.2">
      <c r="B23" s="18" t="s">
        <v>17</v>
      </c>
      <c r="C23" s="75" t="s">
        <v>25</v>
      </c>
      <c r="D23" s="76"/>
      <c r="G23" s="16"/>
      <c r="H23" s="5"/>
      <c r="I23" s="5"/>
      <c r="J23" s="5"/>
      <c r="K23" s="5"/>
      <c r="L23" s="5"/>
      <c r="M23" s="5"/>
      <c r="N23" s="5"/>
      <c r="O23" s="5"/>
      <c r="P23" s="6"/>
    </row>
    <row r="24" spans="2:16" x14ac:dyDescent="0.2">
      <c r="B24" s="18" t="s">
        <v>18</v>
      </c>
      <c r="C24" s="75">
        <v>1981</v>
      </c>
      <c r="D24" s="76"/>
      <c r="G24" s="16"/>
      <c r="H24" s="5"/>
      <c r="I24" s="5"/>
      <c r="J24" s="5"/>
      <c r="K24" s="5"/>
      <c r="L24" s="5"/>
      <c r="M24" s="5"/>
      <c r="N24" s="5"/>
      <c r="O24" s="5"/>
      <c r="P24" s="6"/>
    </row>
    <row r="25" spans="2:16" x14ac:dyDescent="0.2">
      <c r="B25" s="18" t="s">
        <v>19</v>
      </c>
      <c r="C25" s="75">
        <v>2018</v>
      </c>
      <c r="D25" s="76"/>
      <c r="G25" s="16"/>
      <c r="H25" s="5"/>
      <c r="I25" s="5"/>
      <c r="J25" s="5"/>
      <c r="K25" s="5"/>
      <c r="L25" s="5"/>
      <c r="M25" s="5"/>
      <c r="N25" s="5"/>
      <c r="O25" s="5"/>
      <c r="P25" s="6"/>
    </row>
    <row r="26" spans="2:16" x14ac:dyDescent="0.2">
      <c r="B26" s="18"/>
      <c r="C26" s="75"/>
      <c r="D26" s="76"/>
      <c r="G26" s="16"/>
      <c r="H26" s="5"/>
      <c r="I26" s="5"/>
      <c r="J26" s="5"/>
      <c r="K26" s="5"/>
      <c r="L26" s="5"/>
      <c r="M26" s="5"/>
      <c r="N26" s="5"/>
      <c r="O26" s="5"/>
      <c r="P26" s="6"/>
    </row>
    <row r="27" spans="2:16" x14ac:dyDescent="0.2">
      <c r="B27" s="18" t="s">
        <v>20</v>
      </c>
      <c r="C27" s="75">
        <f>'Financial Model'!V30</f>
        <v>526</v>
      </c>
      <c r="D27" s="76"/>
      <c r="G27" s="16"/>
      <c r="H27" s="5"/>
      <c r="I27" s="5"/>
      <c r="J27" s="5"/>
      <c r="K27" s="5"/>
      <c r="L27" s="5"/>
      <c r="M27" s="5"/>
      <c r="N27" s="5"/>
      <c r="O27" s="5"/>
      <c r="P27" s="6"/>
    </row>
    <row r="28" spans="2:16" x14ac:dyDescent="0.2">
      <c r="B28" s="18" t="s">
        <v>21</v>
      </c>
      <c r="C28" s="81">
        <f>'Financial Model'!V47</f>
        <v>33.441000000000003</v>
      </c>
      <c r="D28" s="82"/>
      <c r="G28" s="16"/>
      <c r="H28" s="5"/>
      <c r="I28" s="5"/>
      <c r="J28" s="5"/>
      <c r="K28" s="5"/>
      <c r="L28" s="5"/>
      <c r="M28" s="5"/>
      <c r="N28" s="5"/>
      <c r="O28" s="5"/>
      <c r="P28" s="6"/>
    </row>
    <row r="29" spans="2:16" x14ac:dyDescent="0.2">
      <c r="B29" s="18" t="s">
        <v>22</v>
      </c>
      <c r="C29" s="83">
        <f>'Financial Model'!V33</f>
        <v>4044</v>
      </c>
      <c r="D29" s="76"/>
      <c r="G29" s="17"/>
      <c r="H29" s="7"/>
      <c r="I29" s="7"/>
      <c r="J29" s="7"/>
      <c r="K29" s="7"/>
      <c r="L29" s="7"/>
      <c r="M29" s="7"/>
      <c r="N29" s="7"/>
      <c r="O29" s="7"/>
      <c r="P29" s="8"/>
    </row>
    <row r="30" spans="2:16" x14ac:dyDescent="0.2">
      <c r="B30" s="18"/>
      <c r="C30" s="75"/>
      <c r="D30" s="76"/>
    </row>
    <row r="31" spans="2:16" x14ac:dyDescent="0.2">
      <c r="B31" s="18" t="s">
        <v>23</v>
      </c>
      <c r="C31" s="9" t="s">
        <v>32</v>
      </c>
      <c r="D31" s="29">
        <f>'Financial Model'!V3</f>
        <v>45169</v>
      </c>
    </row>
    <row r="32" spans="2:16" x14ac:dyDescent="0.2">
      <c r="B32" s="19" t="s">
        <v>24</v>
      </c>
      <c r="C32" s="84" t="s">
        <v>26</v>
      </c>
      <c r="D32" s="85"/>
    </row>
    <row r="35" spans="2:4" x14ac:dyDescent="0.2">
      <c r="B35" s="72" t="s">
        <v>96</v>
      </c>
      <c r="C35" s="73"/>
      <c r="D35" s="74"/>
    </row>
    <row r="36" spans="2:4" x14ac:dyDescent="0.2">
      <c r="B36" s="18" t="s">
        <v>91</v>
      </c>
      <c r="C36" s="86">
        <f>C6/'Financial Model'!V71</f>
        <v>15.152660217654205</v>
      </c>
      <c r="D36" s="87"/>
    </row>
    <row r="37" spans="2:4" x14ac:dyDescent="0.2">
      <c r="B37" s="18" t="s">
        <v>92</v>
      </c>
      <c r="C37" s="86">
        <f>C8/'Financial Model'!V4</f>
        <v>8.9476333621323664E-2</v>
      </c>
      <c r="D37" s="87"/>
    </row>
    <row r="38" spans="2:4" x14ac:dyDescent="0.2">
      <c r="B38" s="18" t="s">
        <v>93</v>
      </c>
      <c r="C38" s="86">
        <f>C12/'Financial Model'!V4</f>
        <v>5.6816802450535879E-2</v>
      </c>
      <c r="D38" s="87"/>
    </row>
    <row r="39" spans="2:4" x14ac:dyDescent="0.2">
      <c r="B39" s="18" t="s">
        <v>94</v>
      </c>
      <c r="C39" s="86">
        <f>C6/'Financial Model'!V16</f>
        <v>7.6076645797761591E-2</v>
      </c>
      <c r="D39" s="87"/>
    </row>
    <row r="40" spans="2:4" x14ac:dyDescent="0.2">
      <c r="B40" s="19" t="s">
        <v>95</v>
      </c>
      <c r="C40" s="79">
        <f>C12/'Financial Model'!V16</f>
        <v>3.0192563081009398</v>
      </c>
      <c r="D40" s="80"/>
    </row>
  </sheetData>
  <mergeCells count="23">
    <mergeCell ref="G5:P5"/>
    <mergeCell ref="C24:D24"/>
    <mergeCell ref="C25:D25"/>
    <mergeCell ref="C40:D40"/>
    <mergeCell ref="C27:D27"/>
    <mergeCell ref="C28:D28"/>
    <mergeCell ref="C29:D29"/>
    <mergeCell ref="C30:D30"/>
    <mergeCell ref="C32:D32"/>
    <mergeCell ref="B35:D35"/>
    <mergeCell ref="C36:D36"/>
    <mergeCell ref="C37:D37"/>
    <mergeCell ref="C38:D38"/>
    <mergeCell ref="C39:D39"/>
    <mergeCell ref="C26:D26"/>
    <mergeCell ref="B5:D5"/>
    <mergeCell ref="B22:D22"/>
    <mergeCell ref="C23:D23"/>
    <mergeCell ref="B15:D15"/>
    <mergeCell ref="C16:D16"/>
    <mergeCell ref="C17:D17"/>
    <mergeCell ref="C18:D18"/>
    <mergeCell ref="C19:D19"/>
  </mergeCells>
  <hyperlinks>
    <hyperlink ref="C32:D32" r:id="rId1" display="Link" xr:uid="{92A6B45F-B361-4C4A-BBF4-685EF525B5A7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F77F0-E5D4-4F02-B2BA-6B41BEEDD67B}">
  <dimension ref="A1:CG89"/>
  <sheetViews>
    <sheetView tabSelected="1" workbookViewId="0">
      <pane xSplit="2" ySplit="3" topLeftCell="N4" activePane="bottomRight" state="frozen"/>
      <selection pane="topRight" activeCell="C1" sqref="C1"/>
      <selection pane="bottomLeft" activeCell="A4" sqref="A4"/>
      <selection pane="bottomRight" activeCell="AK23" sqref="AK23"/>
    </sheetView>
  </sheetViews>
  <sheetFormatPr defaultRowHeight="12.75" x14ac:dyDescent="0.2"/>
  <cols>
    <col min="1" max="1" width="5.5703125" style="1" bestFit="1" customWidth="1"/>
    <col min="2" max="2" width="27.5703125" style="1" bestFit="1" customWidth="1"/>
    <col min="3" max="3" width="9.140625" style="1"/>
    <col min="4" max="4" width="9.140625" style="49"/>
    <col min="5" max="5" width="9.140625" style="1"/>
    <col min="6" max="6" width="9.140625" style="49"/>
    <col min="7" max="7" width="9.140625" style="1"/>
    <col min="8" max="8" width="9.140625" style="49"/>
    <col min="9" max="9" width="9.140625" style="1"/>
    <col min="10" max="10" width="9.140625" style="49"/>
    <col min="11" max="11" width="9.140625" style="1"/>
    <col min="12" max="12" width="9.140625" style="49"/>
    <col min="13" max="13" width="9.140625" style="1"/>
    <col min="14" max="14" width="9.140625" style="49"/>
    <col min="15" max="22" width="9.140625" style="1"/>
    <col min="23" max="23" width="9.140625" style="91"/>
    <col min="24" max="34" width="9.140625" style="64"/>
    <col min="35" max="35" width="9.140625" style="1"/>
    <col min="36" max="36" width="12.7109375" style="1" bestFit="1" customWidth="1"/>
    <col min="37" max="16384" width="9.140625" style="1"/>
  </cols>
  <sheetData>
    <row r="1" spans="2:85" s="20" customFormat="1" x14ac:dyDescent="0.2">
      <c r="C1" s="20" t="s">
        <v>111</v>
      </c>
      <c r="D1" s="44" t="s">
        <v>112</v>
      </c>
      <c r="E1" s="23" t="s">
        <v>110</v>
      </c>
      <c r="F1" s="44" t="s">
        <v>113</v>
      </c>
      <c r="G1" s="20" t="s">
        <v>114</v>
      </c>
      <c r="H1" s="44" t="s">
        <v>115</v>
      </c>
      <c r="I1" s="23" t="s">
        <v>121</v>
      </c>
      <c r="J1" s="44" t="s">
        <v>116</v>
      </c>
      <c r="K1" s="20" t="s">
        <v>117</v>
      </c>
      <c r="L1" s="44" t="s">
        <v>118</v>
      </c>
      <c r="M1" s="23" t="s">
        <v>119</v>
      </c>
      <c r="N1" s="44" t="s">
        <v>122</v>
      </c>
      <c r="Q1" s="20" t="s">
        <v>27</v>
      </c>
      <c r="R1" s="23" t="s">
        <v>28</v>
      </c>
      <c r="S1" s="20" t="s">
        <v>29</v>
      </c>
      <c r="T1" s="23" t="s">
        <v>30</v>
      </c>
      <c r="U1" s="20" t="s">
        <v>31</v>
      </c>
      <c r="V1" s="23" t="s">
        <v>32</v>
      </c>
      <c r="W1" s="92" t="s">
        <v>33</v>
      </c>
      <c r="X1" s="105" t="s">
        <v>34</v>
      </c>
      <c r="Y1" s="105" t="s">
        <v>35</v>
      </c>
      <c r="Z1" s="105" t="s">
        <v>36</v>
      </c>
      <c r="AA1" s="105" t="s">
        <v>37</v>
      </c>
      <c r="AB1" s="105" t="s">
        <v>38</v>
      </c>
      <c r="AC1" s="105" t="s">
        <v>39</v>
      </c>
      <c r="AD1" s="105" t="s">
        <v>40</v>
      </c>
      <c r="AE1" s="105" t="s">
        <v>41</v>
      </c>
      <c r="AF1" s="105" t="s">
        <v>42</v>
      </c>
      <c r="AG1" s="105" t="s">
        <v>43</v>
      </c>
      <c r="AH1" s="105" t="s">
        <v>44</v>
      </c>
    </row>
    <row r="2" spans="2:85" s="22" customFormat="1" x14ac:dyDescent="0.2">
      <c r="B2" s="21"/>
      <c r="C2" s="24">
        <v>43037</v>
      </c>
      <c r="D2" s="57">
        <v>43219</v>
      </c>
      <c r="E2" s="24">
        <v>43401</v>
      </c>
      <c r="F2" s="57">
        <f>R2</f>
        <v>43583</v>
      </c>
      <c r="G2" s="24">
        <v>43765</v>
      </c>
      <c r="H2" s="57">
        <f>S2</f>
        <v>43947</v>
      </c>
      <c r="I2" s="24">
        <v>44494</v>
      </c>
      <c r="J2" s="57">
        <f>T2</f>
        <v>44318</v>
      </c>
      <c r="K2" s="24">
        <v>44500</v>
      </c>
      <c r="L2" s="57">
        <f>U2</f>
        <v>44682</v>
      </c>
      <c r="M2" s="24">
        <v>44864</v>
      </c>
      <c r="N2" s="57">
        <f>V2</f>
        <v>45046</v>
      </c>
      <c r="Q2" s="24">
        <v>43219</v>
      </c>
      <c r="R2" s="24">
        <v>43583</v>
      </c>
      <c r="S2" s="24">
        <v>43947</v>
      </c>
      <c r="T2" s="24">
        <v>44318</v>
      </c>
      <c r="U2" s="24">
        <v>44682</v>
      </c>
      <c r="V2" s="24">
        <v>45046</v>
      </c>
      <c r="W2" s="93" t="s">
        <v>123</v>
      </c>
      <c r="X2" s="106" t="str">
        <f>+W2</f>
        <v>(EST.)</v>
      </c>
      <c r="Y2" s="106" t="str">
        <f t="shared" ref="Y2:AH2" si="0">+X2</f>
        <v>(EST.)</v>
      </c>
      <c r="Z2" s="106" t="str">
        <f t="shared" si="0"/>
        <v>(EST.)</v>
      </c>
      <c r="AA2" s="106" t="str">
        <f t="shared" si="0"/>
        <v>(EST.)</v>
      </c>
      <c r="AB2" s="106" t="str">
        <f t="shared" si="0"/>
        <v>(EST.)</v>
      </c>
      <c r="AC2" s="106" t="str">
        <f t="shared" si="0"/>
        <v>(EST.)</v>
      </c>
      <c r="AD2" s="106" t="str">
        <f t="shared" si="0"/>
        <v>(EST.)</v>
      </c>
      <c r="AE2" s="106" t="str">
        <f t="shared" si="0"/>
        <v>(EST.)</v>
      </c>
      <c r="AF2" s="106" t="str">
        <f t="shared" si="0"/>
        <v>(EST.)</v>
      </c>
      <c r="AG2" s="106" t="str">
        <f t="shared" si="0"/>
        <v>(EST.)</v>
      </c>
      <c r="AH2" s="106" t="str">
        <f t="shared" si="0"/>
        <v>(EST.)</v>
      </c>
    </row>
    <row r="3" spans="2:85" s="32" customFormat="1" x14ac:dyDescent="0.2">
      <c r="B3" s="31"/>
      <c r="D3" s="45"/>
      <c r="E3" s="32">
        <v>44942</v>
      </c>
      <c r="F3" s="45">
        <f>R3</f>
        <v>45124</v>
      </c>
      <c r="H3" s="45"/>
      <c r="I3" s="32">
        <v>44948</v>
      </c>
      <c r="J3" s="45">
        <f>T3</f>
        <v>45141</v>
      </c>
      <c r="L3" s="45"/>
      <c r="M3" s="32">
        <v>44946</v>
      </c>
      <c r="N3" s="45">
        <f>V3</f>
        <v>45169</v>
      </c>
      <c r="R3" s="32">
        <v>45124</v>
      </c>
      <c r="T3" s="32">
        <v>45141</v>
      </c>
      <c r="V3" s="32">
        <v>45169</v>
      </c>
      <c r="W3" s="94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</row>
    <row r="4" spans="2:85" s="2" customFormat="1" x14ac:dyDescent="0.2">
      <c r="B4" s="2" t="s">
        <v>47</v>
      </c>
      <c r="C4" s="25">
        <v>79.537000000000006</v>
      </c>
      <c r="D4" s="46">
        <f>Q4-C4</f>
        <v>112.56299999999999</v>
      </c>
      <c r="E4" s="25">
        <v>91.5</v>
      </c>
      <c r="F4" s="46">
        <f>R4-E4</f>
        <v>125.96899999999999</v>
      </c>
      <c r="G4" s="25">
        <v>96.415999999999997</v>
      </c>
      <c r="H4" s="46">
        <f>S4-G4</f>
        <v>128.626</v>
      </c>
      <c r="I4" s="25">
        <v>88.93</v>
      </c>
      <c r="J4" s="46">
        <f>T4-I4</f>
        <v>91.75</v>
      </c>
      <c r="K4" s="25">
        <v>116.07299999999999</v>
      </c>
      <c r="L4" s="46">
        <f>U4-K4</f>
        <v>148.55700000000002</v>
      </c>
      <c r="M4" s="25">
        <v>118.932</v>
      </c>
      <c r="N4" s="46">
        <f>V4-M4</f>
        <v>161.16999999999996</v>
      </c>
      <c r="Q4" s="25">
        <v>192.1</v>
      </c>
      <c r="R4" s="25">
        <v>217.46899999999999</v>
      </c>
      <c r="S4" s="25">
        <v>225.042</v>
      </c>
      <c r="T4" s="25">
        <v>180.68</v>
      </c>
      <c r="U4" s="25">
        <v>264.63</v>
      </c>
      <c r="V4" s="25">
        <v>280.10199999999998</v>
      </c>
      <c r="W4" s="95">
        <f>V4*1.08</f>
        <v>302.51015999999998</v>
      </c>
      <c r="X4" s="108">
        <f>W4*(1+X20)</f>
        <v>332.76117600000003</v>
      </c>
      <c r="Y4" s="108">
        <f t="shared" ref="Y4:AH4" si="1">X4*(1+Y20)</f>
        <v>366.03729360000005</v>
      </c>
      <c r="Z4" s="108">
        <f t="shared" si="1"/>
        <v>402.6410229600001</v>
      </c>
      <c r="AA4" s="108">
        <f t="shared" si="1"/>
        <v>442.90512525600013</v>
      </c>
      <c r="AB4" s="108">
        <f t="shared" si="1"/>
        <v>487.19563778160017</v>
      </c>
      <c r="AC4" s="108">
        <f t="shared" si="1"/>
        <v>511.55541967068018</v>
      </c>
      <c r="AD4" s="108">
        <f t="shared" si="1"/>
        <v>537.13319065421422</v>
      </c>
      <c r="AE4" s="108">
        <f t="shared" si="1"/>
        <v>563.98985018692497</v>
      </c>
      <c r="AF4" s="108">
        <f t="shared" si="1"/>
        <v>592.1893426962713</v>
      </c>
      <c r="AG4" s="108">
        <f t="shared" si="1"/>
        <v>621.7988098310849</v>
      </c>
      <c r="AH4" s="108">
        <f t="shared" si="1"/>
        <v>652.88875032263911</v>
      </c>
    </row>
    <row r="5" spans="2:85" x14ac:dyDescent="0.2">
      <c r="B5" s="1" t="s">
        <v>48</v>
      </c>
      <c r="C5" s="12">
        <v>69.596000000000004</v>
      </c>
      <c r="D5" s="47">
        <f>Q5-C5</f>
        <v>88.570999999999998</v>
      </c>
      <c r="E5" s="12">
        <v>79.876999999999995</v>
      </c>
      <c r="F5" s="47">
        <f>R5-E5</f>
        <v>99.135000000000005</v>
      </c>
      <c r="G5" s="12">
        <v>86.409000000000006</v>
      </c>
      <c r="H5" s="47">
        <f>S5-G5</f>
        <v>107.23799999999999</v>
      </c>
      <c r="I5" s="12">
        <v>85.129000000000005</v>
      </c>
      <c r="J5" s="47">
        <f>T5-I5</f>
        <v>74.629000000000005</v>
      </c>
      <c r="K5" s="12">
        <v>98.286000000000001</v>
      </c>
      <c r="L5" s="47">
        <f>U5-K5</f>
        <v>113.57400000000001</v>
      </c>
      <c r="M5" s="12">
        <v>111.004</v>
      </c>
      <c r="N5" s="47">
        <f>V5-M5</f>
        <v>125.19799999999999</v>
      </c>
      <c r="Q5" s="12">
        <v>158.167</v>
      </c>
      <c r="R5" s="12">
        <v>179.012</v>
      </c>
      <c r="S5" s="12">
        <v>193.64699999999999</v>
      </c>
      <c r="T5" s="12">
        <v>159.75800000000001</v>
      </c>
      <c r="U5" s="12">
        <v>211.86</v>
      </c>
      <c r="V5" s="12">
        <v>236.202</v>
      </c>
      <c r="W5" s="96">
        <f>W4*(1-W23)</f>
        <v>263.18383919999997</v>
      </c>
      <c r="X5" s="109">
        <f>X4*(1-X23)</f>
        <v>286.17461136000003</v>
      </c>
      <c r="Y5" s="109">
        <f t="shared" ref="Y5:AH5" si="2">Y4*(1-Y23)</f>
        <v>311.13169956000002</v>
      </c>
      <c r="Z5" s="109">
        <f t="shared" si="2"/>
        <v>342.24486951600005</v>
      </c>
      <c r="AA5" s="109">
        <f t="shared" si="2"/>
        <v>372.04030521504012</v>
      </c>
      <c r="AB5" s="109">
        <f t="shared" si="2"/>
        <v>404.3723793587281</v>
      </c>
      <c r="AC5" s="109">
        <f t="shared" si="2"/>
        <v>424.59099832666453</v>
      </c>
      <c r="AD5" s="109">
        <f t="shared" si="2"/>
        <v>445.8205482429978</v>
      </c>
      <c r="AE5" s="109">
        <f t="shared" si="2"/>
        <v>468.1115756551477</v>
      </c>
      <c r="AF5" s="109">
        <f t="shared" si="2"/>
        <v>491.51715443790516</v>
      </c>
      <c r="AG5" s="109">
        <f t="shared" si="2"/>
        <v>516.09301215980042</v>
      </c>
      <c r="AH5" s="109">
        <f t="shared" si="2"/>
        <v>541.89766276779039</v>
      </c>
    </row>
    <row r="6" spans="2:85" s="2" customFormat="1" x14ac:dyDescent="0.2">
      <c r="B6" s="2" t="s">
        <v>49</v>
      </c>
      <c r="C6" s="25">
        <f t="shared" ref="C6:N6" si="3">C4-C5</f>
        <v>9.9410000000000025</v>
      </c>
      <c r="D6" s="46">
        <f t="shared" si="3"/>
        <v>23.99199999999999</v>
      </c>
      <c r="E6" s="25">
        <f t="shared" si="3"/>
        <v>11.623000000000005</v>
      </c>
      <c r="F6" s="46">
        <f t="shared" si="3"/>
        <v>26.833999999999989</v>
      </c>
      <c r="G6" s="25">
        <f t="shared" si="3"/>
        <v>10.006999999999991</v>
      </c>
      <c r="H6" s="46">
        <f t="shared" si="3"/>
        <v>21.388000000000019</v>
      </c>
      <c r="I6" s="25">
        <f t="shared" ref="I6:M6" si="4">I4-I5</f>
        <v>3.8010000000000019</v>
      </c>
      <c r="J6" s="46">
        <f t="shared" si="3"/>
        <v>17.120999999999995</v>
      </c>
      <c r="K6" s="25">
        <f t="shared" si="4"/>
        <v>17.786999999999992</v>
      </c>
      <c r="L6" s="46">
        <f t="shared" si="3"/>
        <v>34.983000000000004</v>
      </c>
      <c r="M6" s="25">
        <f t="shared" si="4"/>
        <v>7.9279999999999973</v>
      </c>
      <c r="N6" s="46">
        <f t="shared" si="3"/>
        <v>35.971999999999966</v>
      </c>
      <c r="Q6" s="25">
        <f t="shared" ref="O6:U6" si="5">Q4-Q5</f>
        <v>33.932999999999993</v>
      </c>
      <c r="R6" s="25">
        <f t="shared" si="5"/>
        <v>38.456999999999994</v>
      </c>
      <c r="S6" s="25">
        <f t="shared" si="5"/>
        <v>31.39500000000001</v>
      </c>
      <c r="T6" s="25">
        <f t="shared" si="5"/>
        <v>20.921999999999997</v>
      </c>
      <c r="U6" s="25">
        <f t="shared" si="5"/>
        <v>52.769999999999982</v>
      </c>
      <c r="V6" s="25">
        <f>V4-V5</f>
        <v>43.899999999999977</v>
      </c>
      <c r="W6" s="95">
        <f>W4-W5</f>
        <v>39.326320800000019</v>
      </c>
      <c r="X6" s="108">
        <f>X4-X5</f>
        <v>46.586564640000006</v>
      </c>
      <c r="Y6" s="108">
        <f t="shared" ref="Y6:AH6" si="6">Y4-Y5</f>
        <v>54.90559404000004</v>
      </c>
      <c r="Z6" s="108">
        <f t="shared" si="6"/>
        <v>60.396153444000049</v>
      </c>
      <c r="AA6" s="108">
        <f t="shared" si="6"/>
        <v>70.864820040960012</v>
      </c>
      <c r="AB6" s="108">
        <f t="shared" si="6"/>
        <v>82.823258422872073</v>
      </c>
      <c r="AC6" s="108">
        <f t="shared" si="6"/>
        <v>86.964421344015648</v>
      </c>
      <c r="AD6" s="108">
        <f t="shared" si="6"/>
        <v>91.312642411216416</v>
      </c>
      <c r="AE6" s="108">
        <f t="shared" si="6"/>
        <v>95.878274531777265</v>
      </c>
      <c r="AF6" s="108">
        <f t="shared" si="6"/>
        <v>100.67218825836613</v>
      </c>
      <c r="AG6" s="108">
        <f t="shared" si="6"/>
        <v>105.70579767128447</v>
      </c>
      <c r="AH6" s="108">
        <f t="shared" si="6"/>
        <v>110.99108755484872</v>
      </c>
    </row>
    <row r="7" spans="2:85" x14ac:dyDescent="0.2">
      <c r="B7" s="1" t="s">
        <v>50</v>
      </c>
      <c r="C7" s="12">
        <v>3.0000000000000001E-3</v>
      </c>
      <c r="D7" s="47">
        <f t="shared" ref="D7:D9" si="7">Q7-C7</f>
        <v>4.0000000000000001E-3</v>
      </c>
      <c r="E7" s="12">
        <v>4.0000000000000001E-3</v>
      </c>
      <c r="F7" s="47">
        <f t="shared" ref="F7:F9" si="8">R7-E7</f>
        <v>4.0000000000000001E-3</v>
      </c>
      <c r="G7" s="12">
        <v>4.0000000000000001E-3</v>
      </c>
      <c r="H7" s="47">
        <f t="shared" ref="H7:H9" si="9">S7-G7</f>
        <v>3.653</v>
      </c>
      <c r="I7" s="12">
        <v>12.276</v>
      </c>
      <c r="J7" s="47">
        <f t="shared" ref="J7:J9" si="10">T7-I7</f>
        <v>4.8049999999999997</v>
      </c>
      <c r="K7" s="12">
        <v>-0.11600000000000001</v>
      </c>
      <c r="L7" s="47">
        <f t="shared" ref="L7:L9" si="11">U7-K7</f>
        <v>5.0000000000000044E-3</v>
      </c>
      <c r="M7" s="12">
        <v>4.0000000000000001E-3</v>
      </c>
      <c r="N7" s="47">
        <f t="shared" ref="N7:N9" si="12">V7-M7</f>
        <v>4.0000000000000001E-3</v>
      </c>
      <c r="Q7" s="12">
        <v>7.0000000000000001E-3</v>
      </c>
      <c r="R7" s="12">
        <v>8.0000000000000002E-3</v>
      </c>
      <c r="S7" s="12">
        <v>3.657</v>
      </c>
      <c r="T7" s="12">
        <v>17.081</v>
      </c>
      <c r="U7" s="12">
        <v>-0.111</v>
      </c>
      <c r="V7" s="12">
        <v>8.0000000000000002E-3</v>
      </c>
      <c r="W7" s="96">
        <f>AVERAGE(U7:V7)</f>
        <v>-5.1500000000000004E-2</v>
      </c>
      <c r="X7" s="109">
        <f>AVERAGE(U7:W7)</f>
        <v>-5.1500000000000011E-2</v>
      </c>
      <c r="Y7" s="109">
        <f t="shared" ref="Y7:AH7" si="13">AVERAGE(V7:X7)</f>
        <v>-3.1666666666666669E-2</v>
      </c>
      <c r="Z7" s="109">
        <f t="shared" si="13"/>
        <v>-4.4888888888888895E-2</v>
      </c>
      <c r="AA7" s="109">
        <f t="shared" si="13"/>
        <v>-4.2685185185185194E-2</v>
      </c>
      <c r="AB7" s="109">
        <f t="shared" si="13"/>
        <v>-3.9746913580246922E-2</v>
      </c>
      <c r="AC7" s="109">
        <f t="shared" si="13"/>
        <v>-4.2440329218107004E-2</v>
      </c>
      <c r="AD7" s="109">
        <f t="shared" si="13"/>
        <v>-4.1624142661179704E-2</v>
      </c>
      <c r="AE7" s="109">
        <f t="shared" si="13"/>
        <v>-4.1270461819844541E-2</v>
      </c>
      <c r="AF7" s="109">
        <f t="shared" si="13"/>
        <v>-4.1778311233043743E-2</v>
      </c>
      <c r="AG7" s="109">
        <f t="shared" si="13"/>
        <v>-4.1557638571355998E-2</v>
      </c>
      <c r="AH7" s="109">
        <f t="shared" si="13"/>
        <v>-4.1535470541414758E-2</v>
      </c>
    </row>
    <row r="8" spans="2:85" x14ac:dyDescent="0.2">
      <c r="B8" s="1" t="s">
        <v>51</v>
      </c>
      <c r="C8" s="12">
        <v>4.3259999999999996</v>
      </c>
      <c r="D8" s="47">
        <f t="shared" si="7"/>
        <v>5.0320000000000009</v>
      </c>
      <c r="E8" s="12">
        <v>5.5110000000000001</v>
      </c>
      <c r="F8" s="47">
        <f t="shared" si="8"/>
        <v>7.0089999999999995</v>
      </c>
      <c r="G8" s="12">
        <v>5.9089999999999998</v>
      </c>
      <c r="H8" s="47">
        <f t="shared" si="9"/>
        <v>6.7470000000000008</v>
      </c>
      <c r="I8" s="12">
        <v>6.7969999999999997</v>
      </c>
      <c r="J8" s="47">
        <f t="shared" si="10"/>
        <v>8.2779999999999987</v>
      </c>
      <c r="K8" s="12">
        <v>4.101</v>
      </c>
      <c r="L8" s="47">
        <f t="shared" si="11"/>
        <v>5.0270000000000001</v>
      </c>
      <c r="M8" s="12">
        <v>5.03</v>
      </c>
      <c r="N8" s="47">
        <f t="shared" si="12"/>
        <v>5.2540000000000004</v>
      </c>
      <c r="Q8" s="12">
        <v>9.3580000000000005</v>
      </c>
      <c r="R8" s="12">
        <v>12.52</v>
      </c>
      <c r="S8" s="12">
        <v>12.656000000000001</v>
      </c>
      <c r="T8" s="12">
        <v>15.074999999999999</v>
      </c>
      <c r="U8" s="12">
        <v>9.1280000000000001</v>
      </c>
      <c r="V8" s="12">
        <v>10.284000000000001</v>
      </c>
      <c r="W8" s="96">
        <f>W4*0.05</f>
        <v>15.125508</v>
      </c>
      <c r="X8" s="109">
        <f>X4*0.05</f>
        <v>16.638058800000003</v>
      </c>
      <c r="Y8" s="109">
        <f t="shared" ref="Y8:AH8" si="14">Y4*0.05</f>
        <v>18.301864680000005</v>
      </c>
      <c r="Z8" s="109">
        <f t="shared" si="14"/>
        <v>20.132051148000006</v>
      </c>
      <c r="AA8" s="109">
        <f t="shared" si="14"/>
        <v>22.145256262800007</v>
      </c>
      <c r="AB8" s="109">
        <f t="shared" si="14"/>
        <v>24.359781889080011</v>
      </c>
      <c r="AC8" s="109">
        <f t="shared" si="14"/>
        <v>25.577770983534009</v>
      </c>
      <c r="AD8" s="109">
        <f t="shared" si="14"/>
        <v>26.856659532710712</v>
      </c>
      <c r="AE8" s="109">
        <f t="shared" si="14"/>
        <v>28.19949250934625</v>
      </c>
      <c r="AF8" s="109">
        <f t="shared" si="14"/>
        <v>29.609467134813567</v>
      </c>
      <c r="AG8" s="109">
        <f t="shared" si="14"/>
        <v>31.089940491554245</v>
      </c>
      <c r="AH8" s="109">
        <f t="shared" si="14"/>
        <v>32.644437516131958</v>
      </c>
    </row>
    <row r="9" spans="2:85" x14ac:dyDescent="0.2">
      <c r="B9" s="1" t="s">
        <v>52</v>
      </c>
      <c r="C9" s="12">
        <v>8.2729999999999997</v>
      </c>
      <c r="D9" s="47">
        <f t="shared" si="7"/>
        <v>10.132999999999999</v>
      </c>
      <c r="E9" s="12">
        <v>12.909000000000001</v>
      </c>
      <c r="F9" s="47">
        <f t="shared" si="8"/>
        <v>9.9069999999999983</v>
      </c>
      <c r="G9" s="12">
        <v>10.478</v>
      </c>
      <c r="H9" s="47">
        <f t="shared" si="9"/>
        <v>25.436</v>
      </c>
      <c r="I9" s="12">
        <v>10.839</v>
      </c>
      <c r="J9" s="47">
        <f t="shared" si="10"/>
        <v>9.4219999999999988</v>
      </c>
      <c r="K9" s="12">
        <v>11.81</v>
      </c>
      <c r="L9" s="47">
        <f t="shared" si="11"/>
        <v>12.305999999999999</v>
      </c>
      <c r="M9" s="12">
        <v>11.223000000000001</v>
      </c>
      <c r="N9" s="47">
        <f t="shared" si="12"/>
        <v>12.973999999999998</v>
      </c>
      <c r="Q9" s="12">
        <v>18.405999999999999</v>
      </c>
      <c r="R9" s="12">
        <v>22.815999999999999</v>
      </c>
      <c r="S9" s="12">
        <v>35.914000000000001</v>
      </c>
      <c r="T9" s="12">
        <v>20.260999999999999</v>
      </c>
      <c r="U9" s="12">
        <v>24.116</v>
      </c>
      <c r="V9" s="12">
        <v>24.196999999999999</v>
      </c>
      <c r="W9" s="96">
        <f>W4*0.1</f>
        <v>30.251016</v>
      </c>
      <c r="X9" s="109">
        <f>X4*0.099</f>
        <v>32.943356424000008</v>
      </c>
      <c r="Y9" s="109">
        <f>Y4*0.097</f>
        <v>35.505617479200005</v>
      </c>
      <c r="Z9" s="109">
        <f>Z4*0.096</f>
        <v>38.653538204160007</v>
      </c>
      <c r="AA9" s="109">
        <f t="shared" ref="Y9:AH9" si="15">AA4*0.095</f>
        <v>42.075986899320014</v>
      </c>
      <c r="AB9" s="109">
        <f t="shared" si="15"/>
        <v>46.28358558925202</v>
      </c>
      <c r="AC9" s="109">
        <f t="shared" si="15"/>
        <v>48.59776486871462</v>
      </c>
      <c r="AD9" s="109">
        <f t="shared" si="15"/>
        <v>51.027653112150354</v>
      </c>
      <c r="AE9" s="109">
        <f t="shared" si="15"/>
        <v>53.579035767757873</v>
      </c>
      <c r="AF9" s="109">
        <f t="shared" si="15"/>
        <v>56.257987556145771</v>
      </c>
      <c r="AG9" s="109">
        <f t="shared" si="15"/>
        <v>59.070886933953062</v>
      </c>
      <c r="AH9" s="109">
        <f t="shared" si="15"/>
        <v>62.024431280650717</v>
      </c>
    </row>
    <row r="10" spans="2:85" s="2" customFormat="1" x14ac:dyDescent="0.2">
      <c r="B10" s="2" t="s">
        <v>53</v>
      </c>
      <c r="C10" s="25">
        <f t="shared" ref="C10:N10" si="16">C6+C7-C8-C9</f>
        <v>-2.6549999999999967</v>
      </c>
      <c r="D10" s="46">
        <f t="shared" si="16"/>
        <v>8.8309999999999924</v>
      </c>
      <c r="E10" s="25">
        <f t="shared" si="16"/>
        <v>-6.7929999999999966</v>
      </c>
      <c r="F10" s="46">
        <f t="shared" si="16"/>
        <v>9.9219999999999917</v>
      </c>
      <c r="G10" s="25">
        <f t="shared" si="16"/>
        <v>-6.3760000000000092</v>
      </c>
      <c r="H10" s="46">
        <f t="shared" si="16"/>
        <v>-7.1419999999999817</v>
      </c>
      <c r="I10" s="25">
        <f t="shared" si="16"/>
        <v>-1.5589999999999993</v>
      </c>
      <c r="J10" s="46">
        <f t="shared" si="16"/>
        <v>4.2259999999999973</v>
      </c>
      <c r="K10" s="25">
        <f t="shared" si="16"/>
        <v>1.7599999999999927</v>
      </c>
      <c r="L10" s="46">
        <f t="shared" si="16"/>
        <v>17.655000000000008</v>
      </c>
      <c r="M10" s="25">
        <f t="shared" si="16"/>
        <v>-8.3210000000000051</v>
      </c>
      <c r="N10" s="46">
        <f t="shared" si="16"/>
        <v>17.747999999999962</v>
      </c>
      <c r="Q10" s="25">
        <f t="shared" ref="O10:AH10" si="17">Q6+Q7-Q8-Q9</f>
        <v>6.1759999999999913</v>
      </c>
      <c r="R10" s="25">
        <f t="shared" si="17"/>
        <v>3.1289999999999978</v>
      </c>
      <c r="S10" s="25">
        <f t="shared" si="17"/>
        <v>-13.517999999999994</v>
      </c>
      <c r="T10" s="25">
        <f t="shared" si="17"/>
        <v>2.6670000000000016</v>
      </c>
      <c r="U10" s="25">
        <f t="shared" si="17"/>
        <v>19.414999999999985</v>
      </c>
      <c r="V10" s="25">
        <f>V6+V7-V8-V9</f>
        <v>9.4269999999999818</v>
      </c>
      <c r="W10" s="95">
        <f t="shared" si="17"/>
        <v>-6.101703199999978</v>
      </c>
      <c r="X10" s="108">
        <f t="shared" si="17"/>
        <v>-3.0463505840000025</v>
      </c>
      <c r="Y10" s="108">
        <f t="shared" si="17"/>
        <v>1.0664452141333598</v>
      </c>
      <c r="Z10" s="108">
        <f t="shared" si="17"/>
        <v>1.565675202951148</v>
      </c>
      <c r="AA10" s="108">
        <f t="shared" si="17"/>
        <v>6.6008916936548019</v>
      </c>
      <c r="AB10" s="108">
        <f t="shared" si="17"/>
        <v>12.140144030959796</v>
      </c>
      <c r="AC10" s="108">
        <f t="shared" si="17"/>
        <v>12.746445162548909</v>
      </c>
      <c r="AD10" s="108">
        <f t="shared" si="17"/>
        <v>13.386705623694176</v>
      </c>
      <c r="AE10" s="108">
        <f t="shared" si="17"/>
        <v>14.058475792853287</v>
      </c>
      <c r="AF10" s="108">
        <f t="shared" si="17"/>
        <v>14.762955256173747</v>
      </c>
      <c r="AG10" s="108">
        <f t="shared" si="17"/>
        <v>15.503412607205803</v>
      </c>
      <c r="AH10" s="108">
        <f t="shared" si="17"/>
        <v>16.280683287524624</v>
      </c>
    </row>
    <row r="11" spans="2:85" x14ac:dyDescent="0.2">
      <c r="B11" s="1" t="s">
        <v>54</v>
      </c>
      <c r="C11" s="12">
        <v>0</v>
      </c>
      <c r="D11" s="47">
        <f t="shared" ref="D11:D12" si="18">Q11-C11</f>
        <v>0.02</v>
      </c>
      <c r="E11" s="12">
        <v>1E-3</v>
      </c>
      <c r="F11" s="47">
        <f t="shared" ref="F11:F12" si="19">R11-E11</f>
        <v>1.9E-2</v>
      </c>
      <c r="G11" s="12">
        <v>0</v>
      </c>
      <c r="H11" s="47">
        <f t="shared" ref="H11:H12" si="20">S11-G11</f>
        <v>1.2E-2</v>
      </c>
      <c r="I11" s="12">
        <v>3.1E-2</v>
      </c>
      <c r="J11" s="47">
        <f t="shared" ref="J11:J12" si="21">T11-I11</f>
        <v>-1.3000000000000001E-2</v>
      </c>
      <c r="K11" s="12">
        <v>5.0000000000000001E-3</v>
      </c>
      <c r="L11" s="47">
        <f t="shared" ref="L11:L12" si="22">U11-K11</f>
        <v>1.0999999999999999E-2</v>
      </c>
      <c r="M11" s="12">
        <v>2.3E-2</v>
      </c>
      <c r="N11" s="47">
        <f t="shared" ref="N11:N12" si="23">V11-M11</f>
        <v>0.20400000000000001</v>
      </c>
      <c r="Q11" s="12">
        <v>0.02</v>
      </c>
      <c r="R11" s="12">
        <v>0.02</v>
      </c>
      <c r="S11" s="12">
        <v>1.2E-2</v>
      </c>
      <c r="T11" s="12">
        <v>1.7999999999999999E-2</v>
      </c>
      <c r="U11" s="12">
        <v>1.6E-2</v>
      </c>
      <c r="V11" s="12">
        <v>0.22700000000000001</v>
      </c>
      <c r="W11" s="96">
        <f>AVERAGE(Q11:V11)</f>
        <v>5.2166666666666667E-2</v>
      </c>
      <c r="X11" s="109">
        <f t="shared" ref="X11:AH12" si="24">AVERAGE(R11:W11)</f>
        <v>5.7527777777777789E-2</v>
      </c>
      <c r="Y11" s="109">
        <f t="shared" si="24"/>
        <v>6.3782407407407413E-2</v>
      </c>
      <c r="Z11" s="109">
        <f t="shared" si="24"/>
        <v>7.2412808641975315E-2</v>
      </c>
      <c r="AA11" s="109">
        <f t="shared" si="24"/>
        <v>8.1481610082304534E-2</v>
      </c>
      <c r="AB11" s="109">
        <f t="shared" si="24"/>
        <v>9.2395211762688612E-2</v>
      </c>
      <c r="AC11" s="109">
        <f t="shared" si="24"/>
        <v>6.9961080389803379E-2</v>
      </c>
      <c r="AD11" s="109">
        <f t="shared" si="24"/>
        <v>7.2926816010326176E-2</v>
      </c>
      <c r="AE11" s="109">
        <f t="shared" si="24"/>
        <v>7.5493322382417571E-2</v>
      </c>
      <c r="AF11" s="109">
        <f t="shared" si="24"/>
        <v>7.7445141544919258E-2</v>
      </c>
      <c r="AG11" s="109">
        <f t="shared" si="24"/>
        <v>7.8283863695409919E-2</v>
      </c>
      <c r="AH11" s="109">
        <f t="shared" si="24"/>
        <v>7.7750905964260819E-2</v>
      </c>
    </row>
    <row r="12" spans="2:85" x14ac:dyDescent="0.2">
      <c r="B12" s="1" t="s">
        <v>55</v>
      </c>
      <c r="C12" s="12">
        <v>1.819</v>
      </c>
      <c r="D12" s="47">
        <f t="shared" si="18"/>
        <v>1.8050000000000002</v>
      </c>
      <c r="E12" s="12">
        <v>1.105</v>
      </c>
      <c r="F12" s="47">
        <f t="shared" si="19"/>
        <v>-0.28100000000000003</v>
      </c>
      <c r="G12" s="12">
        <v>2.0990000000000002</v>
      </c>
      <c r="H12" s="47">
        <f t="shared" si="20"/>
        <v>2.367</v>
      </c>
      <c r="I12" s="12">
        <v>2.722</v>
      </c>
      <c r="J12" s="47">
        <f t="shared" si="21"/>
        <v>2.7639999999999998</v>
      </c>
      <c r="K12" s="12">
        <v>2.7570000000000001</v>
      </c>
      <c r="L12" s="47">
        <f t="shared" si="22"/>
        <v>2.4350000000000001</v>
      </c>
      <c r="M12" s="12">
        <v>2.3639999999999999</v>
      </c>
      <c r="N12" s="47">
        <f t="shared" si="23"/>
        <v>2.2839999999999998</v>
      </c>
      <c r="Q12" s="12">
        <v>3.6240000000000001</v>
      </c>
      <c r="R12" s="12">
        <v>0.82399999999999995</v>
      </c>
      <c r="S12" s="12">
        <v>4.4660000000000002</v>
      </c>
      <c r="T12" s="12">
        <v>5.4859999999999998</v>
      </c>
      <c r="U12" s="12">
        <v>5.1920000000000002</v>
      </c>
      <c r="V12" s="12">
        <v>4.6479999999999997</v>
      </c>
      <c r="W12" s="96">
        <f t="shared" ref="W12" si="25">AVERAGE(Q12:V12)</f>
        <v>4.04</v>
      </c>
      <c r="X12" s="109">
        <f t="shared" si="24"/>
        <v>4.1093333333333328</v>
      </c>
      <c r="Y12" s="109">
        <f t="shared" si="24"/>
        <v>4.6568888888888891</v>
      </c>
      <c r="Z12" s="109">
        <f t="shared" si="24"/>
        <v>4.6887037037037036</v>
      </c>
      <c r="AA12" s="109">
        <f t="shared" si="24"/>
        <v>4.5558209876543208</v>
      </c>
      <c r="AB12" s="109">
        <f t="shared" si="24"/>
        <v>4.4497911522633737</v>
      </c>
      <c r="AC12" s="109">
        <f t="shared" si="24"/>
        <v>4.4167563443072702</v>
      </c>
      <c r="AD12" s="109">
        <f t="shared" si="24"/>
        <v>4.4795490683584811</v>
      </c>
      <c r="AE12" s="109">
        <f t="shared" si="24"/>
        <v>4.5412516908626728</v>
      </c>
      <c r="AF12" s="109">
        <f t="shared" si="24"/>
        <v>4.5219788245249699</v>
      </c>
      <c r="AG12" s="109">
        <f t="shared" si="24"/>
        <v>4.4941913446618473</v>
      </c>
      <c r="AH12" s="109">
        <f t="shared" si="24"/>
        <v>4.4839197374964348</v>
      </c>
    </row>
    <row r="13" spans="2:85" x14ac:dyDescent="0.2">
      <c r="B13" s="1" t="s">
        <v>56</v>
      </c>
      <c r="C13" s="12">
        <f t="shared" ref="C13:E13" si="26">C11-C12</f>
        <v>-1.819</v>
      </c>
      <c r="D13" s="47">
        <f t="shared" si="26"/>
        <v>-1.7850000000000001</v>
      </c>
      <c r="E13" s="12">
        <f t="shared" si="26"/>
        <v>-1.1040000000000001</v>
      </c>
      <c r="F13" s="47">
        <f t="shared" ref="F13:G13" si="27">F11-F12</f>
        <v>0.30000000000000004</v>
      </c>
      <c r="G13" s="12">
        <f t="shared" si="27"/>
        <v>-2.0990000000000002</v>
      </c>
      <c r="H13" s="47">
        <f t="shared" ref="H13:K13" si="28">H11-H12</f>
        <v>-2.355</v>
      </c>
      <c r="I13" s="12">
        <f t="shared" ref="I13" si="29">I11-I12</f>
        <v>-2.6909999999999998</v>
      </c>
      <c r="J13" s="47">
        <f t="shared" si="28"/>
        <v>-2.7769999999999997</v>
      </c>
      <c r="K13" s="12">
        <f t="shared" si="28"/>
        <v>-2.7520000000000002</v>
      </c>
      <c r="L13" s="47">
        <f t="shared" ref="L13:M13" si="30">L11-L12</f>
        <v>-2.4239999999999999</v>
      </c>
      <c r="M13" s="12">
        <f t="shared" si="30"/>
        <v>-2.3409999999999997</v>
      </c>
      <c r="N13" s="47">
        <f t="shared" ref="N13" si="31">N11-N12</f>
        <v>-2.0799999999999996</v>
      </c>
      <c r="Q13" s="12">
        <f t="shared" ref="O13:U13" si="32">Q11-Q12</f>
        <v>-3.6040000000000001</v>
      </c>
      <c r="R13" s="12">
        <f t="shared" si="32"/>
        <v>-0.80399999999999994</v>
      </c>
      <c r="S13" s="12">
        <f t="shared" si="32"/>
        <v>-4.4540000000000006</v>
      </c>
      <c r="T13" s="12">
        <f t="shared" si="32"/>
        <v>-5.468</v>
      </c>
      <c r="U13" s="12">
        <f t="shared" si="32"/>
        <v>-5.1760000000000002</v>
      </c>
      <c r="V13" s="12">
        <f>V11-V12</f>
        <v>-4.4209999999999994</v>
      </c>
      <c r="W13" s="96">
        <f t="shared" ref="W13:AH13" si="33">W11-W12</f>
        <v>-3.9878333333333336</v>
      </c>
      <c r="X13" s="109">
        <f t="shared" si="33"/>
        <v>-4.0518055555555552</v>
      </c>
      <c r="Y13" s="109">
        <f t="shared" si="33"/>
        <v>-4.5931064814814819</v>
      </c>
      <c r="Z13" s="109">
        <f t="shared" si="33"/>
        <v>-4.6162908950617281</v>
      </c>
      <c r="AA13" s="109">
        <f t="shared" si="33"/>
        <v>-4.4743393775720159</v>
      </c>
      <c r="AB13" s="109">
        <f t="shared" si="33"/>
        <v>-4.3573959405006848</v>
      </c>
      <c r="AC13" s="109">
        <f t="shared" si="33"/>
        <v>-4.3467952639174667</v>
      </c>
      <c r="AD13" s="109">
        <f t="shared" si="33"/>
        <v>-4.4066222523481553</v>
      </c>
      <c r="AE13" s="109">
        <f t="shared" si="33"/>
        <v>-4.4657583684802553</v>
      </c>
      <c r="AF13" s="109">
        <f t="shared" si="33"/>
        <v>-4.444533682980051</v>
      </c>
      <c r="AG13" s="109">
        <f t="shared" si="33"/>
        <v>-4.4159074809664371</v>
      </c>
      <c r="AH13" s="109">
        <f t="shared" si="33"/>
        <v>-4.4061688315321739</v>
      </c>
    </row>
    <row r="14" spans="2:85" x14ac:dyDescent="0.2">
      <c r="B14" s="1" t="s">
        <v>57</v>
      </c>
      <c r="C14" s="12">
        <f t="shared" ref="C14:E14" si="34">C10+C13</f>
        <v>-4.4739999999999966</v>
      </c>
      <c r="D14" s="47">
        <f t="shared" si="34"/>
        <v>7.0459999999999923</v>
      </c>
      <c r="E14" s="12">
        <f t="shared" si="34"/>
        <v>-7.8969999999999967</v>
      </c>
      <c r="F14" s="47">
        <f t="shared" ref="F14:G14" si="35">F10+F13</f>
        <v>10.221999999999992</v>
      </c>
      <c r="G14" s="12">
        <f t="shared" si="35"/>
        <v>-8.4750000000000085</v>
      </c>
      <c r="H14" s="47">
        <f t="shared" ref="H14:K14" si="36">H10+H13</f>
        <v>-9.4969999999999821</v>
      </c>
      <c r="I14" s="12">
        <f t="shared" ref="I14" si="37">I10+I13</f>
        <v>-4.2499999999999991</v>
      </c>
      <c r="J14" s="47">
        <f t="shared" si="36"/>
        <v>1.4489999999999976</v>
      </c>
      <c r="K14" s="12">
        <f t="shared" si="36"/>
        <v>-0.99200000000000754</v>
      </c>
      <c r="L14" s="47">
        <f t="shared" ref="L14:M14" si="38">L10+L13</f>
        <v>15.231000000000009</v>
      </c>
      <c r="M14" s="12">
        <f t="shared" si="38"/>
        <v>-10.662000000000004</v>
      </c>
      <c r="N14" s="47">
        <f t="shared" ref="N14" si="39">N10+N13</f>
        <v>15.667999999999962</v>
      </c>
      <c r="Q14" s="12">
        <f t="shared" ref="O14:U14" si="40">Q10+Q13</f>
        <v>2.5719999999999912</v>
      </c>
      <c r="R14" s="12">
        <f t="shared" si="40"/>
        <v>2.324999999999998</v>
      </c>
      <c r="S14" s="12">
        <f t="shared" si="40"/>
        <v>-17.971999999999994</v>
      </c>
      <c r="T14" s="12">
        <f t="shared" si="40"/>
        <v>-2.8009999999999984</v>
      </c>
      <c r="U14" s="12">
        <f t="shared" si="40"/>
        <v>14.238999999999985</v>
      </c>
      <c r="V14" s="12">
        <f>V10+V13</f>
        <v>5.0059999999999825</v>
      </c>
      <c r="W14" s="96">
        <f t="shared" ref="W14:AH14" si="41">W10+W13</f>
        <v>-10.089536533333312</v>
      </c>
      <c r="X14" s="109">
        <f t="shared" si="41"/>
        <v>-7.0981561395555577</v>
      </c>
      <c r="Y14" s="109">
        <f t="shared" si="41"/>
        <v>-3.5266612673481221</v>
      </c>
      <c r="Z14" s="109">
        <f t="shared" si="41"/>
        <v>-3.05061569211058</v>
      </c>
      <c r="AA14" s="109">
        <f t="shared" si="41"/>
        <v>2.1265523160827859</v>
      </c>
      <c r="AB14" s="109">
        <f t="shared" si="41"/>
        <v>7.7827480904591111</v>
      </c>
      <c r="AC14" s="109">
        <f t="shared" si="41"/>
        <v>8.3996498986314414</v>
      </c>
      <c r="AD14" s="109">
        <f t="shared" si="41"/>
        <v>8.9800833713460211</v>
      </c>
      <c r="AE14" s="109">
        <f t="shared" si="41"/>
        <v>9.5927174243730313</v>
      </c>
      <c r="AF14" s="109">
        <f t="shared" si="41"/>
        <v>10.318421573193696</v>
      </c>
      <c r="AG14" s="109">
        <f t="shared" si="41"/>
        <v>11.087505126239366</v>
      </c>
      <c r="AH14" s="109">
        <f t="shared" si="41"/>
        <v>11.87451445599245</v>
      </c>
    </row>
    <row r="15" spans="2:85" x14ac:dyDescent="0.2">
      <c r="B15" s="1" t="s">
        <v>58</v>
      </c>
      <c r="C15" s="12">
        <v>-1.369</v>
      </c>
      <c r="D15" s="47">
        <f>Q15-C15</f>
        <v>2.1560000000000001</v>
      </c>
      <c r="E15" s="12">
        <v>-1.1619999999999999</v>
      </c>
      <c r="F15" s="47">
        <f>R15-E15</f>
        <v>2.367</v>
      </c>
      <c r="G15" s="12">
        <v>-2.0609999999999999</v>
      </c>
      <c r="H15" s="47">
        <f>S15-G15</f>
        <v>1.7909999999999999</v>
      </c>
      <c r="I15" s="12">
        <v>-0.98599999999999999</v>
      </c>
      <c r="J15" s="47">
        <f>T15-I15</f>
        <v>0.48399999999999999</v>
      </c>
      <c r="K15" s="12">
        <v>-0.14000000000000001</v>
      </c>
      <c r="L15" s="47">
        <f>U15-K15</f>
        <v>0.41600000000000004</v>
      </c>
      <c r="M15" s="12">
        <v>-1.986</v>
      </c>
      <c r="N15" s="47">
        <f>V15-M15</f>
        <v>1.7210000000000001</v>
      </c>
      <c r="Q15" s="12">
        <v>0.78700000000000003</v>
      </c>
      <c r="R15" s="12">
        <v>1.2050000000000001</v>
      </c>
      <c r="S15" s="12">
        <v>-0.27</v>
      </c>
      <c r="T15" s="12">
        <v>-0.502</v>
      </c>
      <c r="U15" s="12">
        <v>0.27600000000000002</v>
      </c>
      <c r="V15" s="12">
        <v>-0.26500000000000001</v>
      </c>
      <c r="W15" s="96">
        <f>AVERAGE(Q15:V15)</f>
        <v>0.20516666666666664</v>
      </c>
      <c r="X15" s="109">
        <f t="shared" ref="X15:AH15" si="42">AVERAGE(R15:W15)</f>
        <v>0.10819444444444444</v>
      </c>
      <c r="Y15" s="109">
        <f t="shared" si="42"/>
        <v>-7.4606481481481496E-2</v>
      </c>
      <c r="Z15" s="109">
        <f t="shared" si="42"/>
        <v>-4.2040895061728402E-2</v>
      </c>
      <c r="AA15" s="109">
        <f t="shared" si="42"/>
        <v>3.4618955761316871E-2</v>
      </c>
      <c r="AB15" s="109">
        <f t="shared" si="42"/>
        <v>-5.6112182784636621E-3</v>
      </c>
      <c r="AC15" s="109">
        <f t="shared" si="42"/>
        <v>3.7620245341792403E-2</v>
      </c>
      <c r="AD15" s="109">
        <f t="shared" si="42"/>
        <v>9.6958417876466928E-3</v>
      </c>
      <c r="AE15" s="109">
        <f t="shared" si="42"/>
        <v>-6.7205919884862622E-3</v>
      </c>
      <c r="AF15" s="109">
        <f t="shared" si="42"/>
        <v>4.5937229270129401E-3</v>
      </c>
      <c r="AG15" s="109">
        <f t="shared" si="42"/>
        <v>1.236615925846983E-2</v>
      </c>
      <c r="AH15" s="109">
        <f t="shared" si="42"/>
        <v>8.6573598413286577E-3</v>
      </c>
    </row>
    <row r="16" spans="2:85" s="2" customFormat="1" x14ac:dyDescent="0.2">
      <c r="B16" s="2" t="s">
        <v>59</v>
      </c>
      <c r="C16" s="25">
        <f t="shared" ref="C16:N16" si="43">C14-C15</f>
        <v>-3.1049999999999969</v>
      </c>
      <c r="D16" s="46">
        <f t="shared" si="43"/>
        <v>4.8899999999999917</v>
      </c>
      <c r="E16" s="25">
        <f t="shared" si="43"/>
        <v>-6.7349999999999968</v>
      </c>
      <c r="F16" s="46">
        <f t="shared" si="43"/>
        <v>7.8549999999999924</v>
      </c>
      <c r="G16" s="25">
        <f t="shared" si="43"/>
        <v>-6.4140000000000086</v>
      </c>
      <c r="H16" s="46">
        <f t="shared" si="43"/>
        <v>-11.287999999999982</v>
      </c>
      <c r="I16" s="25">
        <f t="shared" si="43"/>
        <v>-3.2639999999999993</v>
      </c>
      <c r="J16" s="46">
        <f t="shared" si="43"/>
        <v>0.96499999999999764</v>
      </c>
      <c r="K16" s="25">
        <f t="shared" si="43"/>
        <v>-0.85200000000000753</v>
      </c>
      <c r="L16" s="46">
        <f t="shared" si="43"/>
        <v>14.815000000000008</v>
      </c>
      <c r="M16" s="25">
        <f t="shared" si="43"/>
        <v>-8.6760000000000037</v>
      </c>
      <c r="N16" s="46">
        <f t="shared" si="43"/>
        <v>13.946999999999962</v>
      </c>
      <c r="Q16" s="25">
        <f t="shared" ref="O16:U16" si="44">Q14-Q15</f>
        <v>1.7849999999999913</v>
      </c>
      <c r="R16" s="25">
        <f t="shared" si="44"/>
        <v>1.1199999999999979</v>
      </c>
      <c r="S16" s="25">
        <f t="shared" si="44"/>
        <v>-17.701999999999995</v>
      </c>
      <c r="T16" s="25">
        <f t="shared" si="44"/>
        <v>-2.2989999999999986</v>
      </c>
      <c r="U16" s="25">
        <f t="shared" si="44"/>
        <v>13.962999999999985</v>
      </c>
      <c r="V16" s="25">
        <f>V14-V15</f>
        <v>5.2709999999999821</v>
      </c>
      <c r="W16" s="95">
        <f t="shared" ref="W16:AH16" si="45">W14-W15</f>
        <v>-10.294703199999979</v>
      </c>
      <c r="X16" s="108">
        <f t="shared" si="45"/>
        <v>-7.2063505840000017</v>
      </c>
      <c r="Y16" s="108">
        <f t="shared" si="45"/>
        <v>-3.4520547858666406</v>
      </c>
      <c r="Z16" s="108">
        <f t="shared" si="45"/>
        <v>-3.0085747970488517</v>
      </c>
      <c r="AA16" s="108">
        <f t="shared" si="45"/>
        <v>2.0919333603214691</v>
      </c>
      <c r="AB16" s="108">
        <f t="shared" si="45"/>
        <v>7.7883593087375749</v>
      </c>
      <c r="AC16" s="108">
        <f t="shared" si="45"/>
        <v>8.3620296532896496</v>
      </c>
      <c r="AD16" s="108">
        <f t="shared" si="45"/>
        <v>8.9703875295583746</v>
      </c>
      <c r="AE16" s="108">
        <f t="shared" si="45"/>
        <v>9.5994380163615176</v>
      </c>
      <c r="AF16" s="108">
        <f t="shared" si="45"/>
        <v>10.313827850266684</v>
      </c>
      <c r="AG16" s="108">
        <f t="shared" si="45"/>
        <v>11.075138966980896</v>
      </c>
      <c r="AH16" s="108">
        <f t="shared" si="45"/>
        <v>11.865857096151121</v>
      </c>
      <c r="AI16" s="25">
        <f>AH16*(1+$AK$23)</f>
        <v>11.628539954228099</v>
      </c>
      <c r="AJ16" s="25">
        <f t="shared" ref="AJ16:CG16" si="46">AI16*(1+$AK$23)</f>
        <v>11.395969155143536</v>
      </c>
      <c r="AK16" s="25">
        <f t="shared" si="46"/>
        <v>11.168049772040666</v>
      </c>
      <c r="AL16" s="25">
        <f t="shared" si="46"/>
        <v>10.944688776599852</v>
      </c>
      <c r="AM16" s="25">
        <f t="shared" si="46"/>
        <v>10.725795001067855</v>
      </c>
      <c r="AN16" s="25">
        <f t="shared" si="46"/>
        <v>10.511279101046497</v>
      </c>
      <c r="AO16" s="25">
        <f t="shared" si="46"/>
        <v>10.301053519025567</v>
      </c>
      <c r="AP16" s="25">
        <f t="shared" si="46"/>
        <v>10.095032448645055</v>
      </c>
      <c r="AQ16" s="25">
        <f t="shared" si="46"/>
        <v>9.8931317996721546</v>
      </c>
      <c r="AR16" s="25">
        <f t="shared" si="46"/>
        <v>9.6952691636787112</v>
      </c>
      <c r="AS16" s="25">
        <f t="shared" si="46"/>
        <v>9.5013637804051374</v>
      </c>
      <c r="AT16" s="25">
        <f t="shared" si="46"/>
        <v>9.3113365047970351</v>
      </c>
      <c r="AU16" s="25">
        <f t="shared" si="46"/>
        <v>9.1251097747010945</v>
      </c>
      <c r="AV16" s="25">
        <f t="shared" si="46"/>
        <v>8.9426075792070723</v>
      </c>
      <c r="AW16" s="25">
        <f t="shared" si="46"/>
        <v>8.7637554276229306</v>
      </c>
      <c r="AX16" s="25">
        <f t="shared" si="46"/>
        <v>8.5884803190704719</v>
      </c>
      <c r="AY16" s="25">
        <f t="shared" si="46"/>
        <v>8.4167107126890617</v>
      </c>
      <c r="AZ16" s="25">
        <f t="shared" si="46"/>
        <v>8.248376498435281</v>
      </c>
      <c r="BA16" s="25">
        <f t="shared" si="46"/>
        <v>8.0834089684665749</v>
      </c>
      <c r="BB16" s="25">
        <f t="shared" si="46"/>
        <v>7.9217407890972433</v>
      </c>
      <c r="BC16" s="25">
        <f t="shared" si="46"/>
        <v>7.7633059733152985</v>
      </c>
      <c r="BD16" s="25">
        <f t="shared" si="46"/>
        <v>7.6080398538489922</v>
      </c>
      <c r="BE16" s="25">
        <f t="shared" si="46"/>
        <v>7.4558790567720123</v>
      </c>
      <c r="BF16" s="25">
        <f t="shared" si="46"/>
        <v>7.3067614756365717</v>
      </c>
      <c r="BG16" s="25">
        <f t="shared" si="46"/>
        <v>7.1606262461238401</v>
      </c>
      <c r="BH16" s="25">
        <f t="shared" si="46"/>
        <v>7.017413721201363</v>
      </c>
      <c r="BI16" s="25">
        <f t="shared" si="46"/>
        <v>6.877065446777336</v>
      </c>
      <c r="BJ16" s="25">
        <f t="shared" si="46"/>
        <v>6.7395241378417889</v>
      </c>
      <c r="BK16" s="25">
        <f t="shared" si="46"/>
        <v>6.6047336550849529</v>
      </c>
      <c r="BL16" s="25">
        <f t="shared" si="46"/>
        <v>6.4726389819832537</v>
      </c>
      <c r="BM16" s="25">
        <f t="shared" si="46"/>
        <v>6.3431862023435883</v>
      </c>
      <c r="BN16" s="25">
        <f t="shared" si="46"/>
        <v>6.2163224782967168</v>
      </c>
      <c r="BO16" s="25">
        <f t="shared" si="46"/>
        <v>6.0919960287307822</v>
      </c>
      <c r="BP16" s="25">
        <f t="shared" si="46"/>
        <v>5.970156108156166</v>
      </c>
      <c r="BQ16" s="25">
        <f t="shared" si="46"/>
        <v>5.8507529859930427</v>
      </c>
      <c r="BR16" s="25">
        <f t="shared" si="46"/>
        <v>5.7337379262731814</v>
      </c>
      <c r="BS16" s="25">
        <f t="shared" si="46"/>
        <v>5.6190631677477176</v>
      </c>
      <c r="BT16" s="25">
        <f t="shared" si="46"/>
        <v>5.5066819043927628</v>
      </c>
      <c r="BU16" s="25">
        <f t="shared" si="46"/>
        <v>5.3965482663049071</v>
      </c>
      <c r="BV16" s="25">
        <f t="shared" si="46"/>
        <v>5.2886173009788093</v>
      </c>
      <c r="BW16" s="25">
        <f t="shared" si="46"/>
        <v>5.1828449549592328</v>
      </c>
      <c r="BX16" s="25">
        <f t="shared" si="46"/>
        <v>5.0791880558600484</v>
      </c>
      <c r="BY16" s="25">
        <f t="shared" si="46"/>
        <v>4.9776042947428474</v>
      </c>
      <c r="BZ16" s="25">
        <f t="shared" si="46"/>
        <v>4.8780522088479907</v>
      </c>
      <c r="CA16" s="25">
        <f t="shared" si="46"/>
        <v>4.7804911646710311</v>
      </c>
      <c r="CB16" s="25">
        <f t="shared" si="46"/>
        <v>4.6848813413776105</v>
      </c>
      <c r="CC16" s="25">
        <f t="shared" si="46"/>
        <v>4.5911837145500582</v>
      </c>
      <c r="CD16" s="25">
        <f t="shared" si="46"/>
        <v>4.4993600402590568</v>
      </c>
      <c r="CE16" s="25">
        <f t="shared" si="46"/>
        <v>4.4093728394538756</v>
      </c>
      <c r="CF16" s="25">
        <f t="shared" si="46"/>
        <v>4.3211853826647983</v>
      </c>
      <c r="CG16" s="25">
        <f t="shared" si="46"/>
        <v>4.2347616750115025</v>
      </c>
    </row>
    <row r="17" spans="2:37" s="28" customFormat="1" x14ac:dyDescent="0.2">
      <c r="B17" s="28" t="s">
        <v>60</v>
      </c>
      <c r="C17" s="28">
        <f>C16/C18</f>
        <v>-4.9679999999999953E-2</v>
      </c>
      <c r="D17" s="48">
        <f>D16/D18</f>
        <v>0.10942661505460023</v>
      </c>
      <c r="E17" s="28">
        <f>E16/E18</f>
        <v>-0.10775999999999995</v>
      </c>
      <c r="F17" s="48">
        <f>F16/F18</f>
        <v>0.13419040715060776</v>
      </c>
      <c r="G17" s="28">
        <f>G16/G18</f>
        <v>-0.10262400000000013</v>
      </c>
      <c r="H17" s="48">
        <f>H16/H18</f>
        <v>-0.18060799999999971</v>
      </c>
      <c r="I17" s="28">
        <f>I16/I18</f>
        <v>-5.2223999999999993E-2</v>
      </c>
      <c r="J17" s="48">
        <f>J16/J18</f>
        <v>1.5439999999999962E-2</v>
      </c>
      <c r="K17" s="28">
        <f>K16/K18</f>
        <v>-1.363200000000012E-2</v>
      </c>
      <c r="L17" s="48">
        <f>L16/L18</f>
        <v>0.23704000000000014</v>
      </c>
      <c r="M17" s="28">
        <f>M16/M18</f>
        <v>-0.13881600000000005</v>
      </c>
      <c r="N17" s="48">
        <f>N16/N18</f>
        <v>0.22315199999999938</v>
      </c>
      <c r="Q17" s="28">
        <f t="shared" ref="Q17:U17" si="47">Q16/Q18</f>
        <v>3.9944071139562533E-2</v>
      </c>
      <c r="R17" s="28">
        <f t="shared" si="47"/>
        <v>1.9133450796776648E-2</v>
      </c>
      <c r="S17" s="28">
        <f t="shared" si="47"/>
        <v>-0.28323199999999993</v>
      </c>
      <c r="T17" s="28">
        <f t="shared" si="47"/>
        <v>-3.6783999999999976E-2</v>
      </c>
      <c r="U17" s="28">
        <f t="shared" si="47"/>
        <v>0.22340799999999977</v>
      </c>
      <c r="V17" s="28">
        <f>V16/V18</f>
        <v>8.4335999999999717E-2</v>
      </c>
      <c r="W17" s="97">
        <f>W16/W18</f>
        <v>-0.16471525119999966</v>
      </c>
      <c r="X17" s="110">
        <f>X16/X18</f>
        <v>-0.11530160934400002</v>
      </c>
      <c r="Y17" s="110">
        <f t="shared" ref="Y17:AH17" si="48">Y16/Y18</f>
        <v>-5.5232876573866246E-2</v>
      </c>
      <c r="Z17" s="110">
        <f t="shared" si="48"/>
        <v>-4.8137196752781629E-2</v>
      </c>
      <c r="AA17" s="110">
        <f t="shared" si="48"/>
        <v>3.3470933765143505E-2</v>
      </c>
      <c r="AB17" s="110">
        <f t="shared" si="48"/>
        <v>0.12461374893980119</v>
      </c>
      <c r="AC17" s="110">
        <f t="shared" si="48"/>
        <v>0.1337924744526344</v>
      </c>
      <c r="AD17" s="110">
        <f t="shared" si="48"/>
        <v>0.14352620047293399</v>
      </c>
      <c r="AE17" s="110">
        <f t="shared" si="48"/>
        <v>0.15359100826178429</v>
      </c>
      <c r="AF17" s="110">
        <f t="shared" si="48"/>
        <v>0.16502124560426693</v>
      </c>
      <c r="AG17" s="110">
        <f t="shared" si="48"/>
        <v>0.17720222347169434</v>
      </c>
      <c r="AH17" s="110">
        <f t="shared" si="48"/>
        <v>0.18985371353841793</v>
      </c>
    </row>
    <row r="18" spans="2:37" x14ac:dyDescent="0.2">
      <c r="B18" s="1" t="s">
        <v>3</v>
      </c>
      <c r="C18" s="1">
        <v>62.5</v>
      </c>
      <c r="D18" s="47">
        <f>Q18</f>
        <v>44.687483</v>
      </c>
      <c r="E18" s="1">
        <v>62.5</v>
      </c>
      <c r="F18" s="47">
        <f>R18</f>
        <v>58.536225999999999</v>
      </c>
      <c r="G18" s="1">
        <v>62.5</v>
      </c>
      <c r="H18" s="49">
        <f>S18</f>
        <v>62.5</v>
      </c>
      <c r="I18" s="1">
        <v>62.5</v>
      </c>
      <c r="J18" s="49">
        <f>T18</f>
        <v>62.5</v>
      </c>
      <c r="K18" s="1">
        <v>62.5</v>
      </c>
      <c r="L18" s="49">
        <f>T18</f>
        <v>62.5</v>
      </c>
      <c r="M18" s="1">
        <v>62.5</v>
      </c>
      <c r="N18" s="49">
        <f>V18</f>
        <v>62.5</v>
      </c>
      <c r="Q18" s="12">
        <v>44.687483</v>
      </c>
      <c r="R18" s="12">
        <v>58.536225999999999</v>
      </c>
      <c r="S18" s="1">
        <v>62.5</v>
      </c>
      <c r="T18" s="1">
        <v>62.5</v>
      </c>
      <c r="U18" s="1">
        <v>62.5</v>
      </c>
      <c r="V18" s="1">
        <v>62.5</v>
      </c>
      <c r="W18" s="96">
        <f>V18</f>
        <v>62.5</v>
      </c>
      <c r="X18" s="109">
        <f>W18</f>
        <v>62.5</v>
      </c>
      <c r="Y18" s="109">
        <f t="shared" ref="Y18:AH18" si="49">X18</f>
        <v>62.5</v>
      </c>
      <c r="Z18" s="109">
        <f t="shared" si="49"/>
        <v>62.5</v>
      </c>
      <c r="AA18" s="109">
        <f t="shared" si="49"/>
        <v>62.5</v>
      </c>
      <c r="AB18" s="109">
        <f t="shared" si="49"/>
        <v>62.5</v>
      </c>
      <c r="AC18" s="109">
        <f t="shared" si="49"/>
        <v>62.5</v>
      </c>
      <c r="AD18" s="109">
        <f t="shared" si="49"/>
        <v>62.5</v>
      </c>
      <c r="AE18" s="109">
        <f t="shared" si="49"/>
        <v>62.5</v>
      </c>
      <c r="AF18" s="109">
        <f t="shared" si="49"/>
        <v>62.5</v>
      </c>
      <c r="AG18" s="109">
        <f t="shared" si="49"/>
        <v>62.5</v>
      </c>
      <c r="AH18" s="109">
        <f t="shared" si="49"/>
        <v>62.5</v>
      </c>
    </row>
    <row r="20" spans="2:37" s="26" customFormat="1" x14ac:dyDescent="0.2">
      <c r="B20" s="26" t="s">
        <v>61</v>
      </c>
      <c r="C20" s="43" t="s">
        <v>109</v>
      </c>
      <c r="D20" s="50" t="s">
        <v>109</v>
      </c>
      <c r="E20" s="26">
        <f>E4/C4-1</f>
        <v>0.15040798622024965</v>
      </c>
      <c r="F20" s="58">
        <f>F4/D4-1</f>
        <v>0.11909774970460996</v>
      </c>
      <c r="G20" s="26">
        <f>G4/E4-1</f>
        <v>5.3726775956284056E-2</v>
      </c>
      <c r="H20" s="58">
        <f>H4/F4-1</f>
        <v>2.1092491009693015E-2</v>
      </c>
      <c r="I20" s="26">
        <f>I4/G4-1</f>
        <v>-7.7642714902090848E-2</v>
      </c>
      <c r="J20" s="58">
        <f>J4/H4-1</f>
        <v>-0.28669164865579277</v>
      </c>
      <c r="K20" s="26">
        <f>K4/I4-1</f>
        <v>0.30521758686607425</v>
      </c>
      <c r="L20" s="58">
        <f>L4/J4-1</f>
        <v>0.61914986376021819</v>
      </c>
      <c r="M20" s="26">
        <f>M4/K4-1</f>
        <v>2.4631051148846117E-2</v>
      </c>
      <c r="N20" s="58">
        <f>N4/L4-1</f>
        <v>8.4903437737702925E-2</v>
      </c>
      <c r="R20" s="26">
        <f t="shared" ref="R20" si="50">R4/Q4-1</f>
        <v>0.1320614263404476</v>
      </c>
      <c r="S20" s="26">
        <f t="shared" ref="S20" si="51">S4/R4-1</f>
        <v>3.4823354133232787E-2</v>
      </c>
      <c r="T20" s="26">
        <f t="shared" ref="T20:U20" si="52">T4/S4-1</f>
        <v>-0.19712764728361809</v>
      </c>
      <c r="U20" s="26">
        <f t="shared" si="52"/>
        <v>0.46463360637591311</v>
      </c>
      <c r="V20" s="26">
        <f>V4/U4-1</f>
        <v>5.8466538185390826E-2</v>
      </c>
      <c r="W20" s="98">
        <f>W4/V4-1</f>
        <v>8.0000000000000071E-2</v>
      </c>
      <c r="X20" s="111">
        <v>0.1</v>
      </c>
      <c r="Y20" s="111">
        <v>0.1</v>
      </c>
      <c r="Z20" s="111">
        <v>0.1</v>
      </c>
      <c r="AA20" s="111">
        <v>0.1</v>
      </c>
      <c r="AB20" s="111">
        <v>0.1</v>
      </c>
      <c r="AC20" s="111">
        <v>0.05</v>
      </c>
      <c r="AD20" s="111">
        <v>0.05</v>
      </c>
      <c r="AE20" s="111">
        <v>0.05</v>
      </c>
      <c r="AF20" s="111">
        <v>0.05</v>
      </c>
      <c r="AG20" s="111">
        <v>0.05</v>
      </c>
      <c r="AH20" s="111">
        <v>0.05</v>
      </c>
    </row>
    <row r="21" spans="2:37" s="27" customFormat="1" x14ac:dyDescent="0.2">
      <c r="B21" s="27" t="s">
        <v>62</v>
      </c>
      <c r="C21" s="41" t="s">
        <v>109</v>
      </c>
      <c r="D21" s="51">
        <f>D4/C4-1</f>
        <v>0.41522813281868798</v>
      </c>
      <c r="E21" s="27">
        <f>E4/D4-1</f>
        <v>-0.18712187841475436</v>
      </c>
      <c r="F21" s="51">
        <f>F4/E4-1</f>
        <v>0.37671038251366107</v>
      </c>
      <c r="G21" s="27">
        <f>G4/F4-1</f>
        <v>-0.23460533940890216</v>
      </c>
      <c r="H21" s="51">
        <f>H4/G4-1</f>
        <v>0.33407318287421184</v>
      </c>
      <c r="I21" s="27">
        <f>I4/H4-1</f>
        <v>-0.3086156764573259</v>
      </c>
      <c r="J21" s="51">
        <f>J4/I4-1</f>
        <v>3.1710333970538462E-2</v>
      </c>
      <c r="K21" s="27">
        <f>K4/J4-1</f>
        <v>0.26510081743869196</v>
      </c>
      <c r="L21" s="51">
        <f>L4/K4-1</f>
        <v>0.27985836499444328</v>
      </c>
      <c r="M21" s="27">
        <f>M4/L4-1</f>
        <v>-0.19941840505664499</v>
      </c>
      <c r="N21" s="51">
        <f>N4/M4-1</f>
        <v>0.35514411596542517</v>
      </c>
      <c r="O21" s="41"/>
      <c r="P21" s="41"/>
      <c r="Q21" s="41" t="s">
        <v>109</v>
      </c>
      <c r="R21" s="41" t="s">
        <v>109</v>
      </c>
      <c r="S21" s="41" t="s">
        <v>109</v>
      </c>
      <c r="T21" s="41" t="s">
        <v>109</v>
      </c>
      <c r="U21" s="41" t="s">
        <v>109</v>
      </c>
      <c r="V21" s="41" t="s">
        <v>109</v>
      </c>
      <c r="W21" s="117" t="s">
        <v>109</v>
      </c>
      <c r="X21" s="41" t="s">
        <v>109</v>
      </c>
      <c r="Y21" s="41" t="s">
        <v>109</v>
      </c>
      <c r="Z21" s="41" t="s">
        <v>109</v>
      </c>
      <c r="AA21" s="41" t="s">
        <v>109</v>
      </c>
      <c r="AB21" s="41" t="s">
        <v>109</v>
      </c>
      <c r="AC21" s="41" t="s">
        <v>109</v>
      </c>
      <c r="AD21" s="41" t="s">
        <v>109</v>
      </c>
      <c r="AE21" s="41" t="s">
        <v>109</v>
      </c>
      <c r="AF21" s="41" t="s">
        <v>109</v>
      </c>
      <c r="AG21" s="41" t="s">
        <v>109</v>
      </c>
      <c r="AH21" s="41" t="s">
        <v>109</v>
      </c>
    </row>
    <row r="23" spans="2:37" s="27" customFormat="1" x14ac:dyDescent="0.2">
      <c r="B23" s="27" t="s">
        <v>64</v>
      </c>
      <c r="C23" s="27">
        <f t="shared" ref="C23" si="53">C6/C4</f>
        <v>0.12498585563951371</v>
      </c>
      <c r="D23" s="51">
        <f t="shared" ref="D23:E23" si="54">D6/D4</f>
        <v>0.21314286221937931</v>
      </c>
      <c r="E23" s="27">
        <f t="shared" si="54"/>
        <v>0.12702732240437165</v>
      </c>
      <c r="F23" s="51">
        <f t="shared" ref="F23:G23" si="55">F6/F4</f>
        <v>0.21302066381411291</v>
      </c>
      <c r="G23" s="27">
        <f t="shared" si="55"/>
        <v>0.10378982741453692</v>
      </c>
      <c r="H23" s="51">
        <f t="shared" ref="H23:I23" si="56">H6/H4</f>
        <v>0.16628053426212444</v>
      </c>
      <c r="I23" s="27">
        <f t="shared" si="56"/>
        <v>4.2741482064545165E-2</v>
      </c>
      <c r="J23" s="51">
        <f t="shared" ref="J23:K23" si="57">J6/J4</f>
        <v>0.18660490463215254</v>
      </c>
      <c r="K23" s="27">
        <f t="shared" si="57"/>
        <v>0.15323977152309318</v>
      </c>
      <c r="L23" s="51">
        <f t="shared" ref="L23:M23" si="58">L6/L4</f>
        <v>0.23548536925220623</v>
      </c>
      <c r="M23" s="27">
        <f t="shared" si="58"/>
        <v>6.6659940133857981E-2</v>
      </c>
      <c r="N23" s="51">
        <f t="shared" ref="N23" si="59">N6/N4</f>
        <v>0.22319290190482083</v>
      </c>
      <c r="Q23" s="27">
        <f t="shared" ref="Q23:R23" si="60">Q6/Q4</f>
        <v>0.17664237376366473</v>
      </c>
      <c r="R23" s="27">
        <f t="shared" si="60"/>
        <v>0.1768389977422069</v>
      </c>
      <c r="S23" s="27">
        <f t="shared" ref="S23:T23" si="61">S6/S4</f>
        <v>0.13950729197216524</v>
      </c>
      <c r="T23" s="27">
        <f t="shared" si="61"/>
        <v>0.11579588222271417</v>
      </c>
      <c r="U23" s="27">
        <f>U6/U4</f>
        <v>0.19941049767600039</v>
      </c>
      <c r="V23" s="27">
        <f>V6/V4</f>
        <v>0.15672862028832346</v>
      </c>
      <c r="W23" s="99">
        <v>0.13</v>
      </c>
      <c r="X23" s="66">
        <v>0.14000000000000001</v>
      </c>
      <c r="Y23" s="66">
        <v>0.15</v>
      </c>
      <c r="Z23" s="66">
        <v>0.15</v>
      </c>
      <c r="AA23" s="66">
        <v>0.16</v>
      </c>
      <c r="AB23" s="66">
        <v>0.17</v>
      </c>
      <c r="AC23" s="66">
        <v>0.17</v>
      </c>
      <c r="AD23" s="66">
        <v>0.17</v>
      </c>
      <c r="AE23" s="66">
        <v>0.17</v>
      </c>
      <c r="AF23" s="66">
        <v>0.17</v>
      </c>
      <c r="AG23" s="66">
        <v>0.17</v>
      </c>
      <c r="AH23" s="66">
        <v>0.17</v>
      </c>
      <c r="AJ23" s="118" t="s">
        <v>124</v>
      </c>
      <c r="AK23" s="120">
        <v>-0.02</v>
      </c>
    </row>
    <row r="24" spans="2:37" s="27" customFormat="1" x14ac:dyDescent="0.2">
      <c r="B24" s="27" t="s">
        <v>65</v>
      </c>
      <c r="C24" s="27">
        <f t="shared" ref="C24" si="62">C10/C4</f>
        <v>-3.3380690747702287E-2</v>
      </c>
      <c r="D24" s="51">
        <f t="shared" ref="D24:E24" si="63">D10/D4</f>
        <v>7.8453843625347519E-2</v>
      </c>
      <c r="E24" s="27">
        <f t="shared" si="63"/>
        <v>-7.424043715846991E-2</v>
      </c>
      <c r="F24" s="51">
        <f t="shared" ref="F24:G24" si="64">F10/F4</f>
        <v>7.8765410537513139E-2</v>
      </c>
      <c r="G24" s="27">
        <f t="shared" si="64"/>
        <v>-6.6130102887487649E-2</v>
      </c>
      <c r="H24" s="51">
        <f t="shared" ref="H24:I24" si="65">H10/H4</f>
        <v>-5.5525321474662832E-2</v>
      </c>
      <c r="I24" s="27">
        <f t="shared" si="65"/>
        <v>-1.7530642078038897E-2</v>
      </c>
      <c r="J24" s="51">
        <f t="shared" ref="J24:K24" si="66">J10/J4</f>
        <v>4.6059945504087166E-2</v>
      </c>
      <c r="K24" s="27">
        <f t="shared" si="66"/>
        <v>1.5162871641122335E-2</v>
      </c>
      <c r="L24" s="51">
        <f t="shared" ref="L24:M24" si="67">L10/L4</f>
        <v>0.11884327227932717</v>
      </c>
      <c r="M24" s="27">
        <f t="shared" si="67"/>
        <v>-6.9964349376114121E-2</v>
      </c>
      <c r="N24" s="51">
        <f t="shared" ref="N24" si="68">N10/N4</f>
        <v>0.11011974933300221</v>
      </c>
      <c r="Q24" s="27">
        <f t="shared" ref="Q24:R24" si="69">Q10/Q4</f>
        <v>3.2149921915668879E-2</v>
      </c>
      <c r="R24" s="27">
        <f t="shared" si="69"/>
        <v>1.4388257636720626E-2</v>
      </c>
      <c r="S24" s="27">
        <f t="shared" ref="S24:U24" si="70">S10/S4</f>
        <v>-6.0068787159730158E-2</v>
      </c>
      <c r="T24" s="27">
        <f t="shared" si="70"/>
        <v>1.476090325437238E-2</v>
      </c>
      <c r="U24" s="27">
        <f t="shared" si="70"/>
        <v>7.3366587310584527E-2</v>
      </c>
      <c r="V24" s="27">
        <f>V10/V4</f>
        <v>3.3655596889704403E-2</v>
      </c>
      <c r="W24" s="99">
        <f t="shared" ref="W24:AH24" si="71">W10/W4</f>
        <v>-2.0170242215996906E-2</v>
      </c>
      <c r="X24" s="66">
        <f t="shared" si="71"/>
        <v>-9.1547656509063484E-3</v>
      </c>
      <c r="Y24" s="66">
        <f t="shared" si="71"/>
        <v>2.91348786798417E-3</v>
      </c>
      <c r="Z24" s="66">
        <f t="shared" si="71"/>
        <v>3.8885138713416396E-3</v>
      </c>
      <c r="AA24" s="66">
        <f t="shared" si="71"/>
        <v>1.4903624539994817E-2</v>
      </c>
      <c r="AB24" s="66">
        <f t="shared" si="71"/>
        <v>2.4918416934599018E-2</v>
      </c>
      <c r="AC24" s="66">
        <f t="shared" si="71"/>
        <v>2.4917036693218073E-2</v>
      </c>
      <c r="AD24" s="66">
        <f t="shared" si="71"/>
        <v>2.4922506850469466E-2</v>
      </c>
      <c r="AE24" s="66">
        <f t="shared" si="71"/>
        <v>2.4926824105422893E-2</v>
      </c>
      <c r="AF24" s="66">
        <f t="shared" si="71"/>
        <v>2.4929451092377285E-2</v>
      </c>
      <c r="AG24" s="66">
        <f t="shared" si="71"/>
        <v>2.4933165458160642E-2</v>
      </c>
      <c r="AH24" s="66">
        <f t="shared" si="71"/>
        <v>2.4936382009154198E-2</v>
      </c>
      <c r="AJ24" s="16" t="s">
        <v>125</v>
      </c>
      <c r="AK24" s="121">
        <v>0.1</v>
      </c>
    </row>
    <row r="25" spans="2:37" s="27" customFormat="1" x14ac:dyDescent="0.2">
      <c r="B25" s="27" t="s">
        <v>66</v>
      </c>
      <c r="C25" s="27">
        <f t="shared" ref="C25" si="72">C16/C4</f>
        <v>-3.9038434942228105E-2</v>
      </c>
      <c r="D25" s="51">
        <f t="shared" ref="D25:E25" si="73">D16/D4</f>
        <v>4.3442338956850762E-2</v>
      </c>
      <c r="E25" s="27">
        <f t="shared" si="73"/>
        <v>-7.3606557377049145E-2</v>
      </c>
      <c r="F25" s="51">
        <f t="shared" ref="F25:G25" si="74">F16/F4</f>
        <v>6.2356611547285383E-2</v>
      </c>
      <c r="G25" s="27">
        <f t="shared" si="74"/>
        <v>-6.6524228343843431E-2</v>
      </c>
      <c r="H25" s="51">
        <f t="shared" ref="H25:I25" si="75">H16/H4</f>
        <v>-8.7758307029682819E-2</v>
      </c>
      <c r="I25" s="27">
        <f t="shared" si="75"/>
        <v>-3.6703024851006398E-2</v>
      </c>
      <c r="J25" s="51">
        <f t="shared" ref="J25:K25" si="76">J16/J4</f>
        <v>1.05177111716621E-2</v>
      </c>
      <c r="K25" s="27">
        <f t="shared" si="76"/>
        <v>-7.3402083171797711E-3</v>
      </c>
      <c r="L25" s="51">
        <f t="shared" ref="L25:M25" si="77">L16/L4</f>
        <v>9.972603108571125E-2</v>
      </c>
      <c r="M25" s="27">
        <f t="shared" si="77"/>
        <v>-7.2949248309958664E-2</v>
      </c>
      <c r="N25" s="51">
        <f t="shared" ref="N25" si="78">N16/N4</f>
        <v>8.653595582304377E-2</v>
      </c>
      <c r="Q25" s="27">
        <f t="shared" ref="Q25:R25" si="79">Q16/Q4</f>
        <v>9.2920353982300433E-3</v>
      </c>
      <c r="R25" s="27">
        <f t="shared" si="79"/>
        <v>5.1501593330543572E-3</v>
      </c>
      <c r="S25" s="27">
        <f t="shared" ref="S25:U25" si="80">S16/S4</f>
        <v>-7.8660872192746215E-2</v>
      </c>
      <c r="T25" s="27">
        <f t="shared" si="80"/>
        <v>-1.2724153199025893E-2</v>
      </c>
      <c r="U25" s="27">
        <f t="shared" si="80"/>
        <v>5.2764236859010639E-2</v>
      </c>
      <c r="V25" s="27">
        <f>V16/V4</f>
        <v>1.8818144818673135E-2</v>
      </c>
      <c r="W25" s="99">
        <f t="shared" ref="W25:AH25" si="81">W16/W4</f>
        <v>-3.4030933704838146E-2</v>
      </c>
      <c r="X25" s="66">
        <f t="shared" si="81"/>
        <v>-2.1656224054214791E-2</v>
      </c>
      <c r="Y25" s="66">
        <f t="shared" si="81"/>
        <v>-9.4308827166638201E-3</v>
      </c>
      <c r="Z25" s="66">
        <f t="shared" si="81"/>
        <v>-7.472102010201119E-3</v>
      </c>
      <c r="AA25" s="66">
        <f t="shared" si="81"/>
        <v>4.7232087438869152E-3</v>
      </c>
      <c r="AB25" s="66">
        <f t="shared" si="81"/>
        <v>1.598610230625451E-2</v>
      </c>
      <c r="AC25" s="66">
        <f t="shared" si="81"/>
        <v>1.6346282986646501E-2</v>
      </c>
      <c r="AD25" s="66">
        <f t="shared" si="81"/>
        <v>1.6700490093774837E-2</v>
      </c>
      <c r="AE25" s="66">
        <f t="shared" si="81"/>
        <v>1.7020586475412536E-2</v>
      </c>
      <c r="AF25" s="66">
        <f t="shared" si="81"/>
        <v>1.741643610691683E-2</v>
      </c>
      <c r="AG25" s="66">
        <f t="shared" si="81"/>
        <v>1.7811450893560763E-2</v>
      </c>
      <c r="AH25" s="66">
        <f t="shared" si="81"/>
        <v>1.8174393555237933E-2</v>
      </c>
      <c r="AJ25" s="16" t="s">
        <v>126</v>
      </c>
      <c r="AK25" s="122">
        <f>NPV(AK24,W16:CG16)</f>
        <v>40.709633352176411</v>
      </c>
    </row>
    <row r="26" spans="2:37" s="27" customFormat="1" x14ac:dyDescent="0.2">
      <c r="B26" s="27" t="s">
        <v>63</v>
      </c>
      <c r="C26" s="27">
        <f t="shared" ref="C26" si="82">C15/C14</f>
        <v>0.30599016540008961</v>
      </c>
      <c r="D26" s="51">
        <f t="shared" ref="D26:E26" si="83">D15/D14</f>
        <v>0.30598921373829158</v>
      </c>
      <c r="E26" s="27">
        <f t="shared" si="83"/>
        <v>0.14714448524756241</v>
      </c>
      <c r="F26" s="51">
        <f t="shared" ref="F26:G26" si="84">F15/F14</f>
        <v>0.23155938172568985</v>
      </c>
      <c r="G26" s="27">
        <f t="shared" si="84"/>
        <v>0.24318584070796434</v>
      </c>
      <c r="H26" s="51">
        <f t="shared" ref="H26:I26" si="85">H15/H14</f>
        <v>-0.18858586922185988</v>
      </c>
      <c r="I26" s="27">
        <f t="shared" si="85"/>
        <v>0.23200000000000004</v>
      </c>
      <c r="J26" s="51">
        <f t="shared" ref="J26:K26" si="86">J15/J14</f>
        <v>0.3340234644582476</v>
      </c>
      <c r="K26" s="27">
        <f t="shared" si="86"/>
        <v>0.14112903225806345</v>
      </c>
      <c r="L26" s="51">
        <f t="shared" ref="L26:M26" si="87">L15/L14</f>
        <v>2.731271748407851E-2</v>
      </c>
      <c r="M26" s="27">
        <f t="shared" si="87"/>
        <v>0.18626899268429931</v>
      </c>
      <c r="N26" s="51">
        <f t="shared" ref="N26" si="88">N15/N14</f>
        <v>0.10984171559867273</v>
      </c>
      <c r="Q26" s="27">
        <f t="shared" ref="Q26:R26" si="89">Q15/Q14</f>
        <v>0.30598755832037433</v>
      </c>
      <c r="R26" s="27">
        <f t="shared" si="89"/>
        <v>0.51827956989247359</v>
      </c>
      <c r="S26" s="27">
        <f t="shared" ref="S26:U26" si="90">S15/S14</f>
        <v>1.5023369686178506E-2</v>
      </c>
      <c r="T26" s="27">
        <f t="shared" si="90"/>
        <v>0.17922170653338104</v>
      </c>
      <c r="U26" s="27">
        <f t="shared" si="90"/>
        <v>1.9383383664583208E-2</v>
      </c>
      <c r="V26" s="27">
        <f>V15/V14</f>
        <v>-5.2936476228525958E-2</v>
      </c>
      <c r="W26" s="99">
        <f t="shared" ref="W26:AH26" si="91">W15/W14</f>
        <v>-2.0334597727937963E-2</v>
      </c>
      <c r="X26" s="66">
        <f t="shared" si="91"/>
        <v>-1.5242612633091346E-2</v>
      </c>
      <c r="Y26" s="66">
        <f t="shared" si="91"/>
        <v>2.1154989330058892E-2</v>
      </c>
      <c r="Z26" s="66">
        <f t="shared" si="91"/>
        <v>1.3781118077394485E-2</v>
      </c>
      <c r="AA26" s="66">
        <v>0.2</v>
      </c>
      <c r="AB26" s="66">
        <f t="shared" si="91"/>
        <v>-7.2098161385211322E-4</v>
      </c>
      <c r="AC26" s="66">
        <f t="shared" si="91"/>
        <v>4.4787873061140184E-3</v>
      </c>
      <c r="AD26" s="66">
        <f t="shared" si="91"/>
        <v>1.0797050970133017E-3</v>
      </c>
      <c r="AE26" s="66">
        <f t="shared" si="91"/>
        <v>-7.0059313656114629E-4</v>
      </c>
      <c r="AF26" s="66">
        <f t="shared" si="91"/>
        <v>4.4519628263173575E-4</v>
      </c>
      <c r="AG26" s="66">
        <f t="shared" si="91"/>
        <v>1.1153238819438685E-3</v>
      </c>
      <c r="AH26" s="66">
        <f t="shared" si="91"/>
        <v>7.2907063892281826E-4</v>
      </c>
      <c r="AJ26" s="16" t="s">
        <v>7</v>
      </c>
      <c r="AK26" s="123">
        <f>Main!C11</f>
        <v>9.1479999999999997</v>
      </c>
    </row>
    <row r="27" spans="2:37" x14ac:dyDescent="0.2">
      <c r="AJ27" s="16" t="s">
        <v>127</v>
      </c>
      <c r="AK27" s="123">
        <f>AK25-AK26</f>
        <v>31.561633352176411</v>
      </c>
    </row>
    <row r="28" spans="2:37" x14ac:dyDescent="0.2">
      <c r="AJ28" s="3" t="s">
        <v>128</v>
      </c>
      <c r="AK28" s="125">
        <f>AK27/Main!C7</f>
        <v>0.50498613363482259</v>
      </c>
    </row>
    <row r="29" spans="2:37" x14ac:dyDescent="0.2">
      <c r="B29" s="30" t="s">
        <v>99</v>
      </c>
      <c r="X29" s="66"/>
      <c r="Y29" s="66"/>
      <c r="Z29" s="66"/>
      <c r="AA29" s="66"/>
      <c r="AB29" s="66"/>
      <c r="AC29" s="66"/>
      <c r="AD29" s="66"/>
      <c r="AE29" s="66"/>
      <c r="AF29" s="66"/>
      <c r="AJ29" s="16" t="s">
        <v>129</v>
      </c>
      <c r="AK29" s="123">
        <f>Main!C6</f>
        <v>0.40100000000000002</v>
      </c>
    </row>
    <row r="30" spans="2:37" x14ac:dyDescent="0.2">
      <c r="B30" s="1" t="s">
        <v>100</v>
      </c>
      <c r="C30" s="61" t="s">
        <v>109</v>
      </c>
      <c r="D30" s="49">
        <f>Q30</f>
        <v>447</v>
      </c>
      <c r="E30" s="1">
        <v>484</v>
      </c>
      <c r="F30" s="49">
        <f>R30</f>
        <v>467</v>
      </c>
      <c r="H30" s="49">
        <f>S30</f>
        <v>534</v>
      </c>
      <c r="I30" s="1">
        <v>532</v>
      </c>
      <c r="J30" s="49">
        <f>T30</f>
        <v>527</v>
      </c>
      <c r="L30" s="49">
        <f>U30</f>
        <v>525</v>
      </c>
      <c r="M30" s="1">
        <v>527</v>
      </c>
      <c r="N30" s="49">
        <f>V30</f>
        <v>526</v>
      </c>
      <c r="Q30" s="1">
        <v>447</v>
      </c>
      <c r="R30" s="1">
        <v>467</v>
      </c>
      <c r="S30" s="1">
        <v>534</v>
      </c>
      <c r="T30" s="1">
        <v>527</v>
      </c>
      <c r="U30" s="1">
        <v>525</v>
      </c>
      <c r="V30" s="1">
        <v>526</v>
      </c>
      <c r="AC30" s="127"/>
      <c r="AD30" s="127"/>
      <c r="AE30" s="127"/>
      <c r="AF30" s="127"/>
      <c r="AG30" s="127"/>
      <c r="AH30" s="127"/>
      <c r="AJ30" s="119" t="s">
        <v>130</v>
      </c>
      <c r="AK30" s="124">
        <f>AK28/AK29-1</f>
        <v>0.25931704148334811</v>
      </c>
    </row>
    <row r="31" spans="2:37" s="36" customFormat="1" x14ac:dyDescent="0.2">
      <c r="B31" s="36" t="s">
        <v>106</v>
      </c>
      <c r="C31" s="40" t="s">
        <v>109</v>
      </c>
      <c r="D31" s="71" t="s">
        <v>109</v>
      </c>
      <c r="F31" s="52">
        <f>F30-D30</f>
        <v>20</v>
      </c>
      <c r="H31" s="52">
        <f>H30-F30</f>
        <v>67</v>
      </c>
      <c r="J31" s="52">
        <f>J30-H30</f>
        <v>-7</v>
      </c>
      <c r="L31" s="52">
        <f>L30-J30</f>
        <v>-2</v>
      </c>
      <c r="N31" s="52"/>
      <c r="O31" s="40"/>
      <c r="Q31" s="36">
        <f t="shared" ref="Q31" si="92">Q30-P30</f>
        <v>447</v>
      </c>
      <c r="R31" s="36">
        <f t="shared" ref="R31" si="93">R30-Q30</f>
        <v>20</v>
      </c>
      <c r="S31" s="36">
        <f t="shared" ref="S31" si="94">S30-R30</f>
        <v>67</v>
      </c>
      <c r="T31" s="36">
        <f t="shared" ref="T31:U31" si="95">T30-S30</f>
        <v>-7</v>
      </c>
      <c r="U31" s="36">
        <f t="shared" si="95"/>
        <v>-2</v>
      </c>
      <c r="V31" s="36">
        <f>V30-U30</f>
        <v>1</v>
      </c>
      <c r="W31" s="100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</row>
    <row r="33" spans="2:34" s="33" customFormat="1" x14ac:dyDescent="0.2">
      <c r="B33" s="33" t="s">
        <v>101</v>
      </c>
      <c r="C33" s="67" t="s">
        <v>109</v>
      </c>
      <c r="D33" s="68" t="s">
        <v>109</v>
      </c>
      <c r="E33" s="67" t="s">
        <v>109</v>
      </c>
      <c r="F33" s="68" t="s">
        <v>109</v>
      </c>
      <c r="H33" s="53"/>
      <c r="J33" s="53"/>
      <c r="L33" s="53"/>
      <c r="N33" s="53"/>
      <c r="Q33" s="33">
        <f t="shared" ref="Q33:R33" si="96">SUM(Q34:Q36)</f>
        <v>3211</v>
      </c>
      <c r="R33" s="33">
        <f t="shared" si="96"/>
        <v>3616</v>
      </c>
      <c r="S33" s="33">
        <f>SUM(S34:S36)</f>
        <v>3849</v>
      </c>
      <c r="T33" s="33">
        <f>SUM(T34:T36)</f>
        <v>3659</v>
      </c>
      <c r="U33" s="33">
        <f>SUM(U34:U36)</f>
        <v>3824</v>
      </c>
      <c r="V33" s="33">
        <f>SUM(V34:V36)</f>
        <v>4044</v>
      </c>
      <c r="W33" s="101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</row>
    <row r="34" spans="2:34" s="35" customFormat="1" x14ac:dyDescent="0.2">
      <c r="B34" s="34" t="s">
        <v>102</v>
      </c>
      <c r="C34" s="69" t="s">
        <v>109</v>
      </c>
      <c r="D34" s="70" t="s">
        <v>109</v>
      </c>
      <c r="E34" s="69" t="s">
        <v>109</v>
      </c>
      <c r="F34" s="70" t="s">
        <v>109</v>
      </c>
      <c r="H34" s="54"/>
      <c r="J34" s="54"/>
      <c r="L34" s="54"/>
      <c r="N34" s="54"/>
      <c r="Q34" s="35">
        <v>180</v>
      </c>
      <c r="R34" s="35">
        <v>196</v>
      </c>
      <c r="S34" s="35">
        <v>204</v>
      </c>
      <c r="T34" s="35">
        <v>209</v>
      </c>
      <c r="U34" s="35">
        <v>216</v>
      </c>
      <c r="V34" s="35">
        <v>243</v>
      </c>
      <c r="W34" s="102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</row>
    <row r="35" spans="2:34" s="35" customFormat="1" x14ac:dyDescent="0.2">
      <c r="B35" s="34" t="s">
        <v>103</v>
      </c>
      <c r="C35" s="69" t="s">
        <v>109</v>
      </c>
      <c r="D35" s="70" t="s">
        <v>109</v>
      </c>
      <c r="E35" s="69" t="s">
        <v>109</v>
      </c>
      <c r="F35" s="70" t="s">
        <v>109</v>
      </c>
      <c r="H35" s="54"/>
      <c r="J35" s="54"/>
      <c r="L35" s="54"/>
      <c r="N35" s="54"/>
      <c r="Q35" s="35">
        <v>2876</v>
      </c>
      <c r="R35" s="35">
        <v>3268</v>
      </c>
      <c r="S35" s="35">
        <v>3498</v>
      </c>
      <c r="T35" s="35">
        <v>3314</v>
      </c>
      <c r="U35" s="35">
        <v>3468</v>
      </c>
      <c r="V35" s="35">
        <v>3654</v>
      </c>
      <c r="W35" s="102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</row>
    <row r="36" spans="2:34" s="35" customFormat="1" x14ac:dyDescent="0.2">
      <c r="B36" s="34" t="s">
        <v>104</v>
      </c>
      <c r="C36" s="69" t="s">
        <v>109</v>
      </c>
      <c r="D36" s="70" t="s">
        <v>109</v>
      </c>
      <c r="E36" s="69" t="s">
        <v>109</v>
      </c>
      <c r="F36" s="70" t="s">
        <v>109</v>
      </c>
      <c r="H36" s="54"/>
      <c r="J36" s="54"/>
      <c r="L36" s="54"/>
      <c r="N36" s="54"/>
      <c r="Q36" s="35">
        <v>155</v>
      </c>
      <c r="R36" s="35">
        <v>152</v>
      </c>
      <c r="S36" s="35">
        <v>147</v>
      </c>
      <c r="T36" s="35">
        <v>136</v>
      </c>
      <c r="U36" s="35">
        <v>140</v>
      </c>
      <c r="V36" s="35">
        <v>147</v>
      </c>
      <c r="W36" s="102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</row>
    <row r="37" spans="2:34" s="36" customFormat="1" x14ac:dyDescent="0.2">
      <c r="B37" s="36" t="s">
        <v>105</v>
      </c>
      <c r="C37" s="40" t="s">
        <v>109</v>
      </c>
      <c r="D37" s="71" t="s">
        <v>109</v>
      </c>
      <c r="E37" s="40" t="s">
        <v>109</v>
      </c>
      <c r="F37" s="71" t="s">
        <v>109</v>
      </c>
      <c r="H37" s="52"/>
      <c r="J37" s="52"/>
      <c r="L37" s="52"/>
      <c r="N37" s="52"/>
      <c r="R37" s="37">
        <f t="shared" ref="R37" si="97">R33-Q33</f>
        <v>405</v>
      </c>
      <c r="S37" s="37">
        <f t="shared" ref="S37" si="98">S33-R33</f>
        <v>233</v>
      </c>
      <c r="T37" s="37">
        <f t="shared" ref="T37:U37" si="99">T33-S33</f>
        <v>-190</v>
      </c>
      <c r="U37" s="37">
        <f t="shared" si="99"/>
        <v>165</v>
      </c>
      <c r="V37" s="37">
        <f>V33-U33</f>
        <v>220</v>
      </c>
      <c r="W37" s="100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</row>
    <row r="41" spans="2:34" x14ac:dyDescent="0.2">
      <c r="B41" s="30" t="s">
        <v>67</v>
      </c>
    </row>
    <row r="42" spans="2:34" x14ac:dyDescent="0.2">
      <c r="B42" s="1" t="s">
        <v>68</v>
      </c>
      <c r="C42" s="12">
        <v>16.18</v>
      </c>
      <c r="D42" s="47">
        <f>Q42</f>
        <v>18.498999999999999</v>
      </c>
      <c r="E42" s="12">
        <v>16.18</v>
      </c>
      <c r="F42" s="47">
        <f>R42</f>
        <v>18.494</v>
      </c>
      <c r="G42" s="88">
        <v>18.744</v>
      </c>
      <c r="H42" s="47">
        <f>S42</f>
        <v>3.194</v>
      </c>
      <c r="I42" s="88">
        <v>2.573</v>
      </c>
      <c r="J42" s="47">
        <f>T42</f>
        <v>2.4630000000000001</v>
      </c>
      <c r="K42" s="12">
        <v>2.3199999999999998</v>
      </c>
      <c r="L42" s="47">
        <f>U42</f>
        <v>1.617</v>
      </c>
      <c r="M42" s="12">
        <v>2.9009999999999998</v>
      </c>
      <c r="N42" s="47">
        <f>V42</f>
        <v>0.91600000000000004</v>
      </c>
      <c r="Q42" s="12">
        <v>18.498999999999999</v>
      </c>
      <c r="R42" s="12">
        <v>18.494</v>
      </c>
      <c r="S42" s="12">
        <v>3.194</v>
      </c>
      <c r="T42" s="12">
        <v>2.4630000000000001</v>
      </c>
      <c r="U42" s="12">
        <v>1.617</v>
      </c>
      <c r="V42" s="12">
        <v>0.91600000000000004</v>
      </c>
    </row>
    <row r="43" spans="2:34" x14ac:dyDescent="0.2">
      <c r="B43" s="1" t="s">
        <v>69</v>
      </c>
      <c r="C43" s="12">
        <v>19.175000000000001</v>
      </c>
      <c r="D43" s="47">
        <f t="shared" ref="D43:D45" si="100">Q43</f>
        <v>18.693000000000001</v>
      </c>
      <c r="E43" s="12">
        <v>23.032</v>
      </c>
      <c r="F43" s="47">
        <f t="shared" ref="F43:F45" si="101">R43</f>
        <v>20.786000000000001</v>
      </c>
      <c r="G43" s="88">
        <v>20.939</v>
      </c>
      <c r="H43" s="47">
        <f t="shared" ref="H43:H45" si="102">S43</f>
        <v>21.061</v>
      </c>
      <c r="I43" s="88">
        <v>18.763000000000002</v>
      </c>
      <c r="J43" s="47">
        <f>T43</f>
        <v>18.324999999999999</v>
      </c>
      <c r="K43" s="12">
        <v>16.210999999999999</v>
      </c>
      <c r="L43" s="47">
        <f t="shared" ref="L43:L45" si="103">U43</f>
        <v>9.8960000000000008</v>
      </c>
      <c r="M43" s="12">
        <v>13.351000000000001</v>
      </c>
      <c r="N43" s="47">
        <f t="shared" ref="N43:N45" si="104">V43</f>
        <v>11.733000000000001</v>
      </c>
      <c r="Q43" s="12">
        <v>18.693000000000001</v>
      </c>
      <c r="R43" s="12">
        <v>20.786000000000001</v>
      </c>
      <c r="S43" s="12">
        <v>21.061</v>
      </c>
      <c r="T43" s="12">
        <v>18.324999999999999</v>
      </c>
      <c r="U43" s="12">
        <v>9.8960000000000008</v>
      </c>
      <c r="V43" s="12">
        <v>11.733000000000001</v>
      </c>
    </row>
    <row r="44" spans="2:34" x14ac:dyDescent="0.2">
      <c r="B44" s="1" t="s">
        <v>70</v>
      </c>
      <c r="C44" s="12">
        <v>0</v>
      </c>
      <c r="D44" s="47">
        <f t="shared" si="100"/>
        <v>0</v>
      </c>
      <c r="E44" s="12">
        <v>0</v>
      </c>
      <c r="F44" s="47">
        <f t="shared" si="101"/>
        <v>0</v>
      </c>
      <c r="G44" s="88">
        <v>100.569</v>
      </c>
      <c r="H44" s="47">
        <f t="shared" si="102"/>
        <v>116.76300000000001</v>
      </c>
      <c r="I44" s="88">
        <v>113.70099999999999</v>
      </c>
      <c r="J44" s="47">
        <f t="shared" ref="J44:J45" si="105">T44</f>
        <v>111.741</v>
      </c>
      <c r="K44" s="12">
        <v>102.884</v>
      </c>
      <c r="L44" s="47">
        <f t="shared" si="103"/>
        <v>76.620999999999995</v>
      </c>
      <c r="M44" s="12">
        <v>89.132999999999996</v>
      </c>
      <c r="N44" s="47">
        <f t="shared" si="104"/>
        <v>67.462999999999994</v>
      </c>
      <c r="Q44" s="12">
        <v>0</v>
      </c>
      <c r="R44" s="12">
        <v>0</v>
      </c>
      <c r="S44" s="12">
        <v>116.76300000000001</v>
      </c>
      <c r="T44" s="12">
        <v>111.741</v>
      </c>
      <c r="U44" s="12">
        <v>76.620999999999995</v>
      </c>
      <c r="V44" s="12">
        <v>67.462999999999994</v>
      </c>
    </row>
    <row r="45" spans="2:34" x14ac:dyDescent="0.2">
      <c r="B45" s="1" t="s">
        <v>71</v>
      </c>
      <c r="C45" s="12">
        <v>0.32</v>
      </c>
      <c r="D45" s="47">
        <f t="shared" si="100"/>
        <v>0.29899999999999999</v>
      </c>
      <c r="E45" s="12">
        <v>0.307</v>
      </c>
      <c r="F45" s="47">
        <f t="shared" si="101"/>
        <v>0.35099999999999998</v>
      </c>
      <c r="G45" s="88">
        <v>1.8819999999999999</v>
      </c>
      <c r="H45" s="47">
        <f t="shared" si="102"/>
        <v>1.802</v>
      </c>
      <c r="I45" s="88">
        <v>1.802</v>
      </c>
      <c r="J45" s="47">
        <f t="shared" si="105"/>
        <v>2.8519999999999999</v>
      </c>
      <c r="K45" s="12">
        <v>2.992</v>
      </c>
      <c r="L45" s="47">
        <f t="shared" si="103"/>
        <v>4.7080000000000002</v>
      </c>
      <c r="M45" s="12">
        <v>5.4630000000000001</v>
      </c>
      <c r="N45" s="47">
        <f t="shared" si="104"/>
        <v>4.8540000000000001</v>
      </c>
      <c r="Q45" s="12">
        <v>0.29899999999999999</v>
      </c>
      <c r="R45" s="12">
        <v>0.35099999999999998</v>
      </c>
      <c r="S45" s="12">
        <v>1.802</v>
      </c>
      <c r="T45" s="12">
        <v>2.8519999999999999</v>
      </c>
      <c r="U45" s="12">
        <v>4.7080000000000002</v>
      </c>
      <c r="V45" s="12">
        <v>4.8540000000000001</v>
      </c>
    </row>
    <row r="46" spans="2:34" x14ac:dyDescent="0.2">
      <c r="B46" s="1" t="s">
        <v>72</v>
      </c>
      <c r="C46" s="12">
        <f>SUM(C42:C45)</f>
        <v>35.675000000000004</v>
      </c>
      <c r="D46" s="47">
        <f>SUM(D42:D45)</f>
        <v>37.491</v>
      </c>
      <c r="E46" s="12">
        <f>SUM(E42:E45)</f>
        <v>39.519000000000005</v>
      </c>
      <c r="F46" s="47">
        <f>SUM(F42:F45)</f>
        <v>39.631</v>
      </c>
      <c r="G46" s="88">
        <f>SUM(G42:G45)</f>
        <v>142.13400000000001</v>
      </c>
      <c r="H46" s="47">
        <f>SUM(H42:H45)</f>
        <v>142.82</v>
      </c>
      <c r="I46" s="88">
        <f>SUM(I42:I45)</f>
        <v>136.839</v>
      </c>
      <c r="J46" s="47">
        <f>SUM(J42:J45)</f>
        <v>135.381</v>
      </c>
      <c r="K46" s="88">
        <f>SUM(K42:K45)</f>
        <v>124.407</v>
      </c>
      <c r="L46" s="47">
        <f>SUM(L42:L45)</f>
        <v>92.841999999999999</v>
      </c>
      <c r="M46" s="88">
        <f>SUM(M42:M45)</f>
        <v>110.84799999999998</v>
      </c>
      <c r="N46" s="47">
        <f>SUM(N42:N45)</f>
        <v>84.965999999999994</v>
      </c>
      <c r="Q46" s="12">
        <f t="shared" ref="Q46:T46" si="106">SUM(Q42:Q45)</f>
        <v>37.491</v>
      </c>
      <c r="R46" s="12">
        <f t="shared" si="106"/>
        <v>39.631</v>
      </c>
      <c r="S46" s="12">
        <f t="shared" si="106"/>
        <v>142.82</v>
      </c>
      <c r="T46" s="12">
        <f t="shared" si="106"/>
        <v>135.381</v>
      </c>
      <c r="U46" s="12">
        <f>SUM(U42:U45)</f>
        <v>92.841999999999999</v>
      </c>
      <c r="V46" s="12">
        <f>SUM(V42:V45)</f>
        <v>84.965999999999994</v>
      </c>
    </row>
    <row r="47" spans="2:34" s="2" customFormat="1" x14ac:dyDescent="0.2">
      <c r="B47" s="2" t="s">
        <v>73</v>
      </c>
      <c r="C47" s="25">
        <v>30.975999999999999</v>
      </c>
      <c r="D47" s="46">
        <f t="shared" ref="D47:D51" si="107">Q47</f>
        <v>21.495000000000001</v>
      </c>
      <c r="E47" s="25">
        <v>36.287999999999997</v>
      </c>
      <c r="F47" s="46">
        <f>R47</f>
        <v>25.157</v>
      </c>
      <c r="G47" s="89">
        <v>42.511000000000003</v>
      </c>
      <c r="H47" s="46">
        <f>S47</f>
        <v>26.594000000000001</v>
      </c>
      <c r="I47" s="89">
        <v>38.515999999999998</v>
      </c>
      <c r="J47" s="46">
        <f>T47</f>
        <v>29.132000000000001</v>
      </c>
      <c r="K47" s="25">
        <v>40.042999999999999</v>
      </c>
      <c r="L47" s="46">
        <f>U47</f>
        <v>29.387</v>
      </c>
      <c r="M47" s="25">
        <v>53.570999999999998</v>
      </c>
      <c r="N47" s="46">
        <f>V47</f>
        <v>33.441000000000003</v>
      </c>
      <c r="Q47" s="25">
        <v>21.495000000000001</v>
      </c>
      <c r="R47" s="25">
        <v>25.157</v>
      </c>
      <c r="S47" s="25">
        <v>26.594000000000001</v>
      </c>
      <c r="T47" s="25">
        <v>29.132000000000001</v>
      </c>
      <c r="U47" s="25">
        <v>29.387</v>
      </c>
      <c r="V47" s="25">
        <v>33.441000000000003</v>
      </c>
      <c r="W47" s="103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</row>
    <row r="48" spans="2:34" x14ac:dyDescent="0.2">
      <c r="B48" s="1" t="s">
        <v>74</v>
      </c>
      <c r="C48" s="12">
        <v>12.164</v>
      </c>
      <c r="D48" s="47">
        <f t="shared" si="107"/>
        <v>17.224</v>
      </c>
      <c r="E48" s="12">
        <v>13.132999999999999</v>
      </c>
      <c r="F48" s="47">
        <f t="shared" ref="F48" si="108">R48</f>
        <v>17.588999999999999</v>
      </c>
      <c r="G48" s="88">
        <v>9.8840000000000003</v>
      </c>
      <c r="H48" s="47">
        <f t="shared" ref="H48" si="109">S48</f>
        <v>8.1300000000000008</v>
      </c>
      <c r="I48" s="88">
        <v>5.8730000000000002</v>
      </c>
      <c r="J48" s="47">
        <f>T48</f>
        <v>6.9130000000000003</v>
      </c>
      <c r="K48" s="12">
        <v>14.871</v>
      </c>
      <c r="L48" s="47">
        <f>U48</f>
        <v>8.4269999999999996</v>
      </c>
      <c r="M48" s="12">
        <v>10.468999999999999</v>
      </c>
      <c r="N48" s="47">
        <f>V48</f>
        <v>7.5069999999999997</v>
      </c>
      <c r="Q48" s="12">
        <v>17.224</v>
      </c>
      <c r="R48" s="12">
        <v>17.588999999999999</v>
      </c>
      <c r="S48" s="12">
        <v>8.1300000000000008</v>
      </c>
      <c r="T48" s="12">
        <v>6.9130000000000003</v>
      </c>
      <c r="U48" s="12">
        <v>8.4269999999999996</v>
      </c>
      <c r="V48" s="12">
        <v>7.5069999999999997</v>
      </c>
    </row>
    <row r="49" spans="2:34" s="2" customFormat="1" x14ac:dyDescent="0.2">
      <c r="B49" s="2" t="s">
        <v>75</v>
      </c>
      <c r="C49" s="25">
        <v>0</v>
      </c>
      <c r="D49" s="46">
        <f t="shared" si="107"/>
        <v>8.8999999999999996E-2</v>
      </c>
      <c r="E49" s="25">
        <v>0.30099999999999999</v>
      </c>
      <c r="F49" s="46">
        <f>R49</f>
        <v>0.158</v>
      </c>
      <c r="G49" s="89">
        <v>0.156</v>
      </c>
      <c r="H49" s="46">
        <f>S49</f>
        <v>1.5309999999999999</v>
      </c>
      <c r="I49" s="89">
        <v>0.13400000000000001</v>
      </c>
      <c r="J49" s="46">
        <f>T49</f>
        <v>0</v>
      </c>
      <c r="K49" s="25">
        <v>0.42499999999999999</v>
      </c>
      <c r="L49" s="46">
        <f>U49</f>
        <v>2.3929999999999998</v>
      </c>
      <c r="M49" s="25">
        <v>1.7749999999999999</v>
      </c>
      <c r="N49" s="46">
        <f>V49</f>
        <v>0</v>
      </c>
      <c r="Q49" s="25">
        <v>8.8999999999999996E-2</v>
      </c>
      <c r="R49" s="25">
        <v>0.158</v>
      </c>
      <c r="S49" s="25">
        <v>1.5309999999999999</v>
      </c>
      <c r="T49" s="25">
        <v>0</v>
      </c>
      <c r="U49" s="25">
        <v>2.3929999999999998</v>
      </c>
      <c r="V49" s="25">
        <v>0</v>
      </c>
      <c r="W49" s="103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</row>
    <row r="50" spans="2:34" x14ac:dyDescent="0.2">
      <c r="B50" s="1" t="s">
        <v>76</v>
      </c>
      <c r="C50" s="12">
        <v>1.345</v>
      </c>
      <c r="D50" s="47">
        <f t="shared" si="107"/>
        <v>0</v>
      </c>
      <c r="E50" s="12">
        <v>1.3049999999999999</v>
      </c>
      <c r="F50" s="47">
        <f t="shared" ref="F50" si="110">R50</f>
        <v>0</v>
      </c>
      <c r="G50" s="88">
        <v>1.9670000000000001</v>
      </c>
      <c r="H50" s="47">
        <f t="shared" ref="H50" si="111">S50</f>
        <v>0.68700000000000006</v>
      </c>
      <c r="I50" s="88">
        <v>1.7869999999999999</v>
      </c>
      <c r="J50" s="47">
        <f>T50</f>
        <v>0.70399999999999996</v>
      </c>
      <c r="K50" s="12">
        <v>0.69399999999999995</v>
      </c>
      <c r="L50" s="47">
        <f>U50</f>
        <v>0</v>
      </c>
      <c r="M50" s="12">
        <v>0.372</v>
      </c>
      <c r="N50" s="47">
        <f>V50</f>
        <v>1.149</v>
      </c>
      <c r="Q50" s="12">
        <v>0</v>
      </c>
      <c r="R50" s="12">
        <v>0</v>
      </c>
      <c r="S50" s="12">
        <v>0.68700000000000006</v>
      </c>
      <c r="T50" s="12">
        <v>0.70399999999999996</v>
      </c>
      <c r="U50" s="12">
        <v>0</v>
      </c>
      <c r="V50" s="12">
        <v>1.149</v>
      </c>
    </row>
    <row r="51" spans="2:34" s="2" customFormat="1" x14ac:dyDescent="0.2">
      <c r="B51" s="2" t="s">
        <v>5</v>
      </c>
      <c r="C51" s="25">
        <v>0</v>
      </c>
      <c r="D51" s="46">
        <f t="shared" si="107"/>
        <v>7.42</v>
      </c>
      <c r="E51" s="25">
        <v>0.32200000000000001</v>
      </c>
      <c r="F51" s="46">
        <f>R51</f>
        <v>3.6869999999999998</v>
      </c>
      <c r="G51" s="89">
        <v>0.44400000000000001</v>
      </c>
      <c r="H51" s="46">
        <f>S51</f>
        <v>6.5460000000000003</v>
      </c>
      <c r="I51" s="89">
        <v>18.771000000000001</v>
      </c>
      <c r="J51" s="46">
        <f>T51</f>
        <v>8.3149999999999995</v>
      </c>
      <c r="K51" s="25">
        <v>17.783000000000001</v>
      </c>
      <c r="L51" s="46">
        <f>U51</f>
        <v>16.28</v>
      </c>
      <c r="M51" s="25">
        <v>10.971</v>
      </c>
      <c r="N51" s="46">
        <f>V51</f>
        <v>10.196</v>
      </c>
      <c r="Q51" s="25">
        <v>7.42</v>
      </c>
      <c r="R51" s="25">
        <v>3.6869999999999998</v>
      </c>
      <c r="S51" s="25">
        <v>6.5460000000000003</v>
      </c>
      <c r="T51" s="25">
        <v>8.3149999999999995</v>
      </c>
      <c r="U51" s="25">
        <v>16.28</v>
      </c>
      <c r="V51" s="25">
        <v>10.196</v>
      </c>
      <c r="W51" s="103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</row>
    <row r="52" spans="2:34" x14ac:dyDescent="0.2">
      <c r="B52" s="1" t="s">
        <v>77</v>
      </c>
      <c r="C52" s="12">
        <f>SUM(C46:C51)</f>
        <v>80.160000000000011</v>
      </c>
      <c r="D52" s="47">
        <f>SUM(D46:D51)</f>
        <v>83.719000000000008</v>
      </c>
      <c r="E52" s="12">
        <f>SUM(E46:E51)</f>
        <v>90.868000000000009</v>
      </c>
      <c r="F52" s="47">
        <f>SUM(F46:F51)</f>
        <v>86.221999999999994</v>
      </c>
      <c r="G52" s="88">
        <f>SUM(G46:G51)</f>
        <v>197.096</v>
      </c>
      <c r="H52" s="47">
        <f>SUM(H46:H51)</f>
        <v>186.30799999999999</v>
      </c>
      <c r="I52" s="88">
        <f>SUM(I46:I51)</f>
        <v>201.91999999999996</v>
      </c>
      <c r="J52" s="47">
        <f>SUM(J46:J51)</f>
        <v>180.44500000000002</v>
      </c>
      <c r="K52" s="88">
        <f>SUM(K46:K51)</f>
        <v>198.22300000000001</v>
      </c>
      <c r="L52" s="47">
        <f>SUM(L46:L51)</f>
        <v>149.32900000000001</v>
      </c>
      <c r="M52" s="88">
        <f>SUM(M46:M51)</f>
        <v>188.006</v>
      </c>
      <c r="N52" s="47">
        <f>SUM(N46:N51)</f>
        <v>137.25900000000001</v>
      </c>
      <c r="Q52" s="12">
        <f t="shared" ref="Q52:T52" si="112">SUM(Q46:Q51)</f>
        <v>83.719000000000008</v>
      </c>
      <c r="R52" s="12">
        <f t="shared" si="112"/>
        <v>86.221999999999994</v>
      </c>
      <c r="S52" s="12">
        <f t="shared" si="112"/>
        <v>186.30799999999999</v>
      </c>
      <c r="T52" s="12">
        <f t="shared" si="112"/>
        <v>180.44500000000002</v>
      </c>
      <c r="U52" s="12">
        <f>SUM(U46:U51)</f>
        <v>149.32900000000001</v>
      </c>
      <c r="V52" s="12">
        <f>SUM(V46:V51)</f>
        <v>137.25900000000001</v>
      </c>
    </row>
    <row r="53" spans="2:34" x14ac:dyDescent="0.2">
      <c r="G53" s="88"/>
      <c r="I53" s="90"/>
      <c r="K53" s="12"/>
      <c r="M53" s="12"/>
      <c r="Q53" s="12"/>
      <c r="R53" s="12"/>
      <c r="U53" s="12"/>
      <c r="V53" s="12"/>
    </row>
    <row r="54" spans="2:34" s="2" customFormat="1" x14ac:dyDescent="0.2">
      <c r="B54" s="2" t="s">
        <v>107</v>
      </c>
      <c r="C54" s="25">
        <v>0</v>
      </c>
      <c r="D54" s="46">
        <f t="shared" ref="D54:D60" si="113">Q54</f>
        <v>0</v>
      </c>
      <c r="E54" s="25">
        <v>0</v>
      </c>
      <c r="F54" s="46">
        <f>R54</f>
        <v>0</v>
      </c>
      <c r="G54" s="89">
        <v>7.5670000000000002</v>
      </c>
      <c r="H54" s="46">
        <f>S54</f>
        <v>3.605</v>
      </c>
      <c r="I54" s="89">
        <v>0</v>
      </c>
      <c r="J54" s="46">
        <f>T54</f>
        <v>0</v>
      </c>
      <c r="K54" s="25">
        <v>0</v>
      </c>
      <c r="L54" s="46">
        <f>U54</f>
        <v>0</v>
      </c>
      <c r="M54" s="25">
        <v>0</v>
      </c>
      <c r="N54" s="46">
        <f>V54</f>
        <v>0</v>
      </c>
      <c r="Q54" s="25">
        <v>0</v>
      </c>
      <c r="R54" s="25">
        <v>0</v>
      </c>
      <c r="S54" s="25">
        <v>3.605</v>
      </c>
      <c r="T54" s="25">
        <v>0</v>
      </c>
      <c r="U54" s="25">
        <v>0</v>
      </c>
      <c r="V54" s="25">
        <v>0</v>
      </c>
      <c r="W54" s="103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</row>
    <row r="55" spans="2:34" s="2" customFormat="1" x14ac:dyDescent="0.2">
      <c r="B55" s="2" t="s">
        <v>108</v>
      </c>
      <c r="C55" s="25">
        <v>0</v>
      </c>
      <c r="D55" s="46">
        <f t="shared" si="113"/>
        <v>0.20899999999999999</v>
      </c>
      <c r="E55" s="25">
        <v>4.2439999999999998</v>
      </c>
      <c r="F55" s="46">
        <f>R55</f>
        <v>0.23</v>
      </c>
      <c r="G55" s="89">
        <v>6.9379999999999997</v>
      </c>
      <c r="H55" s="46">
        <f>S55</f>
        <v>9.9380000000000006</v>
      </c>
      <c r="I55" s="89">
        <v>7.2140000000000004</v>
      </c>
      <c r="J55" s="46">
        <f>T55</f>
        <v>7.0949999999999998</v>
      </c>
      <c r="K55" s="25">
        <v>-0.26200000000000001</v>
      </c>
      <c r="L55" s="46">
        <f>U55</f>
        <v>0</v>
      </c>
      <c r="M55" s="25">
        <v>4</v>
      </c>
      <c r="N55" s="46">
        <f>V55</f>
        <v>0</v>
      </c>
      <c r="Q55" s="25">
        <v>0.20899999999999999</v>
      </c>
      <c r="R55" s="25">
        <v>0.23</v>
      </c>
      <c r="S55" s="25">
        <v>9.9380000000000006</v>
      </c>
      <c r="T55" s="25">
        <v>7.0949999999999998</v>
      </c>
      <c r="U55" s="25">
        <v>0</v>
      </c>
      <c r="V55" s="25">
        <v>0</v>
      </c>
      <c r="W55" s="103"/>
      <c r="X55" s="115"/>
      <c r="Y55" s="115"/>
      <c r="Z55" s="115"/>
      <c r="AA55" s="115"/>
      <c r="AB55" s="115"/>
      <c r="AC55" s="115"/>
      <c r="AD55" s="115"/>
      <c r="AE55" s="115"/>
      <c r="AF55" s="115"/>
      <c r="AG55" s="115"/>
      <c r="AH55" s="115"/>
    </row>
    <row r="56" spans="2:34" x14ac:dyDescent="0.2">
      <c r="B56" s="1" t="s">
        <v>78</v>
      </c>
      <c r="C56" s="12">
        <v>0</v>
      </c>
      <c r="D56" s="47">
        <f t="shared" si="113"/>
        <v>0</v>
      </c>
      <c r="E56" s="12">
        <v>0</v>
      </c>
      <c r="F56" s="47">
        <f t="shared" ref="F56:F58" si="114">R56</f>
        <v>0</v>
      </c>
      <c r="G56" s="88">
        <v>18.283000000000001</v>
      </c>
      <c r="H56" s="47">
        <f>S56</f>
        <v>22.001999999999999</v>
      </c>
      <c r="I56" s="88">
        <v>22.422999999999998</v>
      </c>
      <c r="J56" s="47">
        <f t="shared" ref="J56:J58" si="115">T56</f>
        <v>31.552</v>
      </c>
      <c r="K56" s="12">
        <v>27.914999999999999</v>
      </c>
      <c r="L56" s="47">
        <f t="shared" ref="L56:L58" si="116">U56</f>
        <v>25.434000000000001</v>
      </c>
      <c r="M56" s="12">
        <v>23.83</v>
      </c>
      <c r="N56" s="47">
        <f t="shared" ref="N56:N58" si="117">V56</f>
        <v>23.449000000000002</v>
      </c>
      <c r="Q56" s="12">
        <v>0</v>
      </c>
      <c r="R56" s="12">
        <v>0</v>
      </c>
      <c r="S56" s="12">
        <v>22.001999999999999</v>
      </c>
      <c r="T56" s="12">
        <v>31.552</v>
      </c>
      <c r="U56" s="12">
        <v>25.434000000000001</v>
      </c>
      <c r="V56" s="12">
        <v>23.449000000000002</v>
      </c>
    </row>
    <row r="57" spans="2:34" x14ac:dyDescent="0.2">
      <c r="B57" s="1" t="s">
        <v>79</v>
      </c>
      <c r="C57" s="12">
        <v>44.951000000000001</v>
      </c>
      <c r="D57" s="47">
        <f t="shared" si="113"/>
        <v>43.905000000000001</v>
      </c>
      <c r="E57" s="12">
        <v>56.372999999999998</v>
      </c>
      <c r="F57" s="47">
        <f t="shared" si="114"/>
        <v>46.646000000000001</v>
      </c>
      <c r="G57" s="88">
        <v>44.456000000000003</v>
      </c>
      <c r="H57" s="47">
        <f t="shared" ref="H57:H60" si="118">S57</f>
        <v>26.189</v>
      </c>
      <c r="I57" s="88">
        <v>54.43</v>
      </c>
      <c r="J57" s="47">
        <f t="shared" si="115"/>
        <v>26.187999999999999</v>
      </c>
      <c r="K57" s="12">
        <v>64.263999999999996</v>
      </c>
      <c r="L57" s="47">
        <f t="shared" si="116"/>
        <v>35.957999999999998</v>
      </c>
      <c r="M57" s="12">
        <v>66.947999999999993</v>
      </c>
      <c r="N57" s="47">
        <f t="shared" si="117"/>
        <v>34.478999999999999</v>
      </c>
      <c r="Q57" s="12">
        <v>43.905000000000001</v>
      </c>
      <c r="R57" s="12">
        <v>46.646000000000001</v>
      </c>
      <c r="S57" s="12">
        <v>26.189</v>
      </c>
      <c r="T57" s="12">
        <v>26.187999999999999</v>
      </c>
      <c r="U57" s="12">
        <v>35.957999999999998</v>
      </c>
      <c r="V57" s="12">
        <v>34.478999999999999</v>
      </c>
    </row>
    <row r="58" spans="2:34" x14ac:dyDescent="0.2">
      <c r="B58" s="1" t="s">
        <v>80</v>
      </c>
      <c r="C58" s="12">
        <v>0</v>
      </c>
      <c r="D58" s="47">
        <f t="shared" si="113"/>
        <v>0.11899999999999999</v>
      </c>
      <c r="E58" s="12">
        <v>0</v>
      </c>
      <c r="F58" s="47">
        <f t="shared" si="114"/>
        <v>0.218</v>
      </c>
      <c r="G58" s="88">
        <v>0.495</v>
      </c>
      <c r="H58" s="47">
        <f t="shared" si="118"/>
        <v>0.97899999999999998</v>
      </c>
      <c r="I58" s="88">
        <v>0.91400000000000003</v>
      </c>
      <c r="J58" s="47">
        <f t="shared" si="115"/>
        <v>0.71799999999999997</v>
      </c>
      <c r="K58" s="12">
        <v>0.83599999999999997</v>
      </c>
      <c r="L58" s="47">
        <f t="shared" si="116"/>
        <v>0.20399999999999999</v>
      </c>
      <c r="M58" s="12">
        <v>0.20399999999999999</v>
      </c>
      <c r="N58" s="47">
        <f t="shared" si="117"/>
        <v>0.56499999999999995</v>
      </c>
      <c r="Q58" s="12">
        <v>0.11899999999999999</v>
      </c>
      <c r="R58" s="12">
        <v>0.218</v>
      </c>
      <c r="S58" s="12">
        <v>0.97899999999999998</v>
      </c>
      <c r="T58" s="12">
        <v>0.71799999999999997</v>
      </c>
      <c r="U58" s="12">
        <v>0.20399999999999999</v>
      </c>
      <c r="V58" s="12">
        <v>0.56499999999999995</v>
      </c>
    </row>
    <row r="59" spans="2:34" s="2" customFormat="1" x14ac:dyDescent="0.2">
      <c r="B59" s="2" t="s">
        <v>81</v>
      </c>
      <c r="C59" s="25">
        <v>6.6000000000000003E-2</v>
      </c>
      <c r="D59" s="46">
        <f t="shared" si="113"/>
        <v>0</v>
      </c>
      <c r="E59" s="25">
        <v>0</v>
      </c>
      <c r="F59" s="46">
        <f>R59</f>
        <v>2.5000000000000001E-2</v>
      </c>
      <c r="G59" s="89">
        <v>1.0049999999999999</v>
      </c>
      <c r="H59" s="46">
        <f>S59</f>
        <v>0</v>
      </c>
      <c r="I59" s="89">
        <v>0.29399999999999998</v>
      </c>
      <c r="J59" s="46">
        <f>T59</f>
        <v>1.649</v>
      </c>
      <c r="K59" s="25">
        <v>0.70199999999999996</v>
      </c>
      <c r="L59" s="46">
        <f>U59</f>
        <v>0</v>
      </c>
      <c r="M59" s="25">
        <v>0</v>
      </c>
      <c r="N59" s="46">
        <f>V59</f>
        <v>1.048</v>
      </c>
      <c r="Q59" s="25">
        <v>0</v>
      </c>
      <c r="R59" s="25">
        <v>2.5000000000000001E-2</v>
      </c>
      <c r="S59" s="25">
        <v>0</v>
      </c>
      <c r="T59" s="25">
        <v>1.649</v>
      </c>
      <c r="U59" s="25">
        <v>0</v>
      </c>
      <c r="V59" s="25">
        <v>1.048</v>
      </c>
      <c r="W59" s="103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</row>
    <row r="60" spans="2:34" x14ac:dyDescent="0.2">
      <c r="B60" s="1" t="s">
        <v>82</v>
      </c>
      <c r="C60" s="12">
        <v>1.0169999999999999</v>
      </c>
      <c r="D60" s="47">
        <f t="shared" si="113"/>
        <v>0.28699999999999998</v>
      </c>
      <c r="E60" s="12">
        <v>0</v>
      </c>
      <c r="F60" s="47">
        <f t="shared" ref="F60" si="119">R60</f>
        <v>0.3</v>
      </c>
      <c r="G60" s="88">
        <v>0</v>
      </c>
      <c r="H60" s="47">
        <f t="shared" si="118"/>
        <v>0</v>
      </c>
      <c r="I60" s="88">
        <v>0</v>
      </c>
      <c r="J60" s="47">
        <f>T60</f>
        <v>0</v>
      </c>
      <c r="K60" s="12">
        <v>0</v>
      </c>
      <c r="L60" s="47">
        <f>U60</f>
        <v>0.74</v>
      </c>
      <c r="M60" s="12">
        <v>0</v>
      </c>
      <c r="N60" s="47">
        <f>V60</f>
        <v>0</v>
      </c>
      <c r="Q60" s="12">
        <v>0.28699999999999998</v>
      </c>
      <c r="R60" s="12">
        <v>0.3</v>
      </c>
      <c r="S60" s="12">
        <v>0</v>
      </c>
      <c r="T60" s="12">
        <v>0</v>
      </c>
      <c r="U60" s="12">
        <v>0.74</v>
      </c>
      <c r="V60" s="12">
        <v>0</v>
      </c>
    </row>
    <row r="61" spans="2:34" x14ac:dyDescent="0.2">
      <c r="B61" s="1" t="s">
        <v>83</v>
      </c>
      <c r="C61" s="12">
        <f>SUM(C54:C60)</f>
        <v>46.034000000000006</v>
      </c>
      <c r="D61" s="47">
        <f>SUM(D54:D60)</f>
        <v>44.52</v>
      </c>
      <c r="E61" s="12">
        <f>SUM(E54:E60)</f>
        <v>60.616999999999997</v>
      </c>
      <c r="F61" s="47">
        <f>SUM(F54:F60)</f>
        <v>47.418999999999997</v>
      </c>
      <c r="G61" s="88">
        <f>SUM(G54:G60)</f>
        <v>78.744</v>
      </c>
      <c r="H61" s="47">
        <f>SUM(H54:H60)</f>
        <v>62.713000000000001</v>
      </c>
      <c r="I61" s="88">
        <f>SUM(I54:I60)</f>
        <v>85.275000000000006</v>
      </c>
      <c r="J61" s="47">
        <f>SUM(J54:J60)</f>
        <v>67.201999999999998</v>
      </c>
      <c r="K61" s="88">
        <f>SUM(K54:K60)</f>
        <v>93.454999999999998</v>
      </c>
      <c r="L61" s="47">
        <f>SUM(L54:L60)</f>
        <v>62.335999999999999</v>
      </c>
      <c r="M61" s="88">
        <f>SUM(M54:M60)</f>
        <v>94.981999999999985</v>
      </c>
      <c r="N61" s="47">
        <f>SUM(N54:N60)</f>
        <v>59.540999999999997</v>
      </c>
      <c r="Q61" s="12">
        <f t="shared" ref="Q61:U61" si="120">SUM(Q54:Q60)</f>
        <v>44.52</v>
      </c>
      <c r="R61" s="12">
        <f t="shared" si="120"/>
        <v>47.418999999999997</v>
      </c>
      <c r="S61" s="12">
        <f t="shared" si="120"/>
        <v>62.713000000000001</v>
      </c>
      <c r="T61" s="12">
        <f t="shared" si="120"/>
        <v>67.201999999999998</v>
      </c>
      <c r="U61" s="12">
        <f t="shared" si="120"/>
        <v>62.335999999999999</v>
      </c>
      <c r="V61" s="12">
        <f>SUM(V54:V60)</f>
        <v>59.540999999999997</v>
      </c>
    </row>
    <row r="62" spans="2:34" s="2" customFormat="1" x14ac:dyDescent="0.2">
      <c r="B62" s="2" t="s">
        <v>108</v>
      </c>
      <c r="C62" s="25">
        <v>31.065999999999999</v>
      </c>
      <c r="D62" s="46">
        <f>Q62</f>
        <v>31.248999999999999</v>
      </c>
      <c r="E62" s="25">
        <v>0.34699999999999998</v>
      </c>
      <c r="F62" s="46">
        <f>R62</f>
        <v>0.40300000000000002</v>
      </c>
      <c r="G62" s="89">
        <v>-4.2000000000000003E-2</v>
      </c>
      <c r="H62" s="46">
        <f>S62</f>
        <v>1.0999999999999999E-2</v>
      </c>
      <c r="I62" s="89">
        <v>-0.26200000000000001</v>
      </c>
      <c r="J62" s="46">
        <f>T62</f>
        <v>0</v>
      </c>
      <c r="K62" s="25">
        <v>0</v>
      </c>
      <c r="L62" s="46">
        <f>U62</f>
        <v>0</v>
      </c>
      <c r="M62" s="25">
        <v>0</v>
      </c>
      <c r="N62" s="46">
        <f>V62</f>
        <v>0</v>
      </c>
      <c r="Q62" s="25">
        <v>31.248999999999999</v>
      </c>
      <c r="R62" s="25">
        <v>0.40300000000000002</v>
      </c>
      <c r="S62" s="25">
        <v>1.0999999999999999E-2</v>
      </c>
      <c r="T62" s="25">
        <v>0</v>
      </c>
      <c r="U62" s="25">
        <v>0</v>
      </c>
      <c r="V62" s="25">
        <v>0</v>
      </c>
      <c r="W62" s="103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5"/>
    </row>
    <row r="63" spans="2:34" x14ac:dyDescent="0.2">
      <c r="B63" s="1" t="s">
        <v>78</v>
      </c>
      <c r="C63" s="12">
        <v>0</v>
      </c>
      <c r="D63" s="47">
        <f>Q63</f>
        <v>0</v>
      </c>
      <c r="E63" s="12">
        <v>0</v>
      </c>
      <c r="F63" s="47">
        <f t="shared" ref="F63:F64" si="121">R63</f>
        <v>0</v>
      </c>
      <c r="G63" s="88">
        <v>94.59</v>
      </c>
      <c r="H63" s="47">
        <f t="shared" ref="H63:H64" si="122">S63</f>
        <v>110.2</v>
      </c>
      <c r="I63" s="88">
        <v>107.497</v>
      </c>
      <c r="J63" s="47">
        <f t="shared" ref="J63:J64" si="123">T63</f>
        <v>104.36199999999999</v>
      </c>
      <c r="K63" s="12">
        <v>94.507999999999996</v>
      </c>
      <c r="L63" s="47">
        <f t="shared" ref="L63:L64" si="124">U63</f>
        <v>85.701999999999998</v>
      </c>
      <c r="M63" s="12">
        <v>81.128</v>
      </c>
      <c r="N63" s="47">
        <f t="shared" ref="N63:N64" si="125">V63</f>
        <v>74.766000000000005</v>
      </c>
      <c r="Q63" s="12">
        <v>0</v>
      </c>
      <c r="R63" s="12">
        <v>0</v>
      </c>
      <c r="S63" s="12">
        <v>110.2</v>
      </c>
      <c r="T63" s="12">
        <v>104.36199999999999</v>
      </c>
      <c r="U63" s="12">
        <v>85.701999999999998</v>
      </c>
      <c r="V63" s="12">
        <v>74.766000000000005</v>
      </c>
    </row>
    <row r="64" spans="2:34" x14ac:dyDescent="0.2">
      <c r="B64" s="1" t="s">
        <v>84</v>
      </c>
      <c r="C64" s="12">
        <v>0</v>
      </c>
      <c r="D64" s="47">
        <f>Q64</f>
        <v>0</v>
      </c>
      <c r="E64" s="12">
        <v>0</v>
      </c>
      <c r="F64" s="47">
        <f t="shared" si="121"/>
        <v>6.3E-2</v>
      </c>
      <c r="G64" s="88">
        <v>0</v>
      </c>
      <c r="H64" s="47">
        <f t="shared" si="122"/>
        <v>0</v>
      </c>
      <c r="I64" s="88">
        <v>0</v>
      </c>
      <c r="J64" s="47">
        <f t="shared" si="123"/>
        <v>5.1999999999999998E-2</v>
      </c>
      <c r="K64" s="12">
        <v>0</v>
      </c>
      <c r="L64" s="47">
        <f t="shared" si="124"/>
        <v>0.91300000000000003</v>
      </c>
      <c r="M64" s="12">
        <v>0.76700000000000002</v>
      </c>
      <c r="N64" s="47">
        <f t="shared" si="125"/>
        <v>1.298</v>
      </c>
      <c r="Q64" s="12">
        <v>0</v>
      </c>
      <c r="R64" s="12">
        <v>6.3E-2</v>
      </c>
      <c r="S64" s="12">
        <v>0</v>
      </c>
      <c r="T64" s="12">
        <v>5.1999999999999998E-2</v>
      </c>
      <c r="U64" s="12">
        <v>0.91300000000000003</v>
      </c>
      <c r="V64" s="12">
        <v>1.298</v>
      </c>
    </row>
    <row r="65" spans="2:34" x14ac:dyDescent="0.2">
      <c r="B65" s="1" t="s">
        <v>85</v>
      </c>
      <c r="C65" s="12">
        <f>SUM(C61:C64)</f>
        <v>77.100000000000009</v>
      </c>
      <c r="D65" s="47">
        <f>SUM(D61:D64)</f>
        <v>75.769000000000005</v>
      </c>
      <c r="E65" s="12">
        <f>SUM(E61:E64)</f>
        <v>60.963999999999999</v>
      </c>
      <c r="F65" s="47">
        <f>SUM(F61:F64)</f>
        <v>47.884999999999998</v>
      </c>
      <c r="G65" s="88">
        <f>SUM(G61:G64)</f>
        <v>173.292</v>
      </c>
      <c r="H65" s="47">
        <f>SUM(H61:H64)</f>
        <v>172.92400000000001</v>
      </c>
      <c r="I65" s="88">
        <f>SUM(I61:I64)</f>
        <v>192.51</v>
      </c>
      <c r="J65" s="47">
        <f>SUM(J61:J64)</f>
        <v>171.61599999999999</v>
      </c>
      <c r="K65" s="88">
        <f>SUM(K61:K64)</f>
        <v>187.96299999999999</v>
      </c>
      <c r="L65" s="47">
        <f>SUM(L61:L64)</f>
        <v>148.95100000000002</v>
      </c>
      <c r="M65" s="88">
        <f>SUM(M61:M64)</f>
        <v>176.87699999999998</v>
      </c>
      <c r="N65" s="47">
        <f>SUM(N61:N64)</f>
        <v>135.60500000000002</v>
      </c>
      <c r="Q65" s="12">
        <f t="shared" ref="Q65:T65" si="126">SUM(Q61:Q64)</f>
        <v>75.769000000000005</v>
      </c>
      <c r="R65" s="12">
        <f t="shared" si="126"/>
        <v>47.884999999999998</v>
      </c>
      <c r="S65" s="12">
        <f t="shared" si="126"/>
        <v>172.92400000000001</v>
      </c>
      <c r="T65" s="12">
        <f t="shared" si="126"/>
        <v>171.61599999999999</v>
      </c>
      <c r="U65" s="12">
        <f>SUM(U61:U64)</f>
        <v>148.95100000000002</v>
      </c>
      <c r="V65" s="12">
        <f>SUM(V61:V64)</f>
        <v>135.60500000000002</v>
      </c>
    </row>
    <row r="66" spans="2:34" x14ac:dyDescent="0.2">
      <c r="G66" s="88"/>
      <c r="I66" s="90"/>
      <c r="K66" s="12"/>
      <c r="U66" s="12"/>
    </row>
    <row r="67" spans="2:34" x14ac:dyDescent="0.2">
      <c r="B67" s="1" t="s">
        <v>86</v>
      </c>
      <c r="C67" s="12">
        <v>3.06</v>
      </c>
      <c r="D67" s="47">
        <f>Q67</f>
        <v>7.95</v>
      </c>
      <c r="E67" s="12">
        <v>29.904</v>
      </c>
      <c r="F67" s="47">
        <f>R67</f>
        <v>38.337000000000003</v>
      </c>
      <c r="G67" s="88">
        <v>23.803999999999998</v>
      </c>
      <c r="H67" s="47">
        <f>S67</f>
        <v>13.406000000000001</v>
      </c>
      <c r="I67" s="90">
        <v>9.41</v>
      </c>
      <c r="J67" s="47">
        <f>T67</f>
        <v>8.8279999999999994</v>
      </c>
      <c r="K67" s="12">
        <v>10.220000000000001</v>
      </c>
      <c r="L67" s="47">
        <f>U67</f>
        <v>0.378</v>
      </c>
      <c r="M67" s="12">
        <v>11.129</v>
      </c>
      <c r="N67" s="47">
        <f>V67</f>
        <v>1.6539999999999999</v>
      </c>
      <c r="Q67" s="12">
        <v>7.95</v>
      </c>
      <c r="R67" s="12">
        <v>38.337000000000003</v>
      </c>
      <c r="S67" s="12">
        <v>13.406000000000001</v>
      </c>
      <c r="T67" s="12">
        <v>8.8279999999999994</v>
      </c>
      <c r="U67" s="12">
        <v>0.378</v>
      </c>
      <c r="V67" s="12">
        <v>1.6539999999999999</v>
      </c>
    </row>
    <row r="68" spans="2:34" x14ac:dyDescent="0.2">
      <c r="B68" s="1" t="s">
        <v>87</v>
      </c>
      <c r="C68" s="12">
        <f>C67+C65</f>
        <v>80.160000000000011</v>
      </c>
      <c r="D68" s="47">
        <f>D67+D65</f>
        <v>83.719000000000008</v>
      </c>
      <c r="E68" s="12">
        <f>E67+E65</f>
        <v>90.867999999999995</v>
      </c>
      <c r="F68" s="47">
        <f>F67+F65</f>
        <v>86.222000000000008</v>
      </c>
      <c r="G68" s="88">
        <f>G67+G65</f>
        <v>197.096</v>
      </c>
      <c r="H68" s="47">
        <f>H67+H65</f>
        <v>186.33</v>
      </c>
      <c r="I68" s="88">
        <f>I67+I65</f>
        <v>201.92</v>
      </c>
      <c r="J68" s="47">
        <f>J67+J65</f>
        <v>180.44399999999999</v>
      </c>
      <c r="K68" s="12">
        <f>K67+K65</f>
        <v>198.18299999999999</v>
      </c>
      <c r="L68" s="47">
        <f>L67+L65</f>
        <v>149.32900000000001</v>
      </c>
      <c r="M68" s="12">
        <f>M67+M65</f>
        <v>188.00599999999997</v>
      </c>
      <c r="N68" s="47">
        <f>N67+N65</f>
        <v>137.25900000000001</v>
      </c>
      <c r="Q68" s="12">
        <f t="shared" ref="Q68:T68" si="127">Q67+Q65</f>
        <v>83.719000000000008</v>
      </c>
      <c r="R68" s="12">
        <f t="shared" si="127"/>
        <v>86.222000000000008</v>
      </c>
      <c r="S68" s="12">
        <f t="shared" si="127"/>
        <v>186.33</v>
      </c>
      <c r="T68" s="12">
        <f t="shared" si="127"/>
        <v>180.44399999999999</v>
      </c>
      <c r="U68" s="12">
        <f>U67+U65</f>
        <v>149.32900000000001</v>
      </c>
      <c r="V68" s="12">
        <f>V67+V65</f>
        <v>137.25900000000001</v>
      </c>
    </row>
    <row r="70" spans="2:34" x14ac:dyDescent="0.2">
      <c r="B70" s="1" t="s">
        <v>88</v>
      </c>
      <c r="C70" s="12">
        <f t="shared" ref="C70" si="128">C52-C65</f>
        <v>3.0600000000000023</v>
      </c>
      <c r="D70" s="47">
        <f t="shared" ref="D70:E70" si="129">D52-D65</f>
        <v>7.9500000000000028</v>
      </c>
      <c r="E70" s="12">
        <f t="shared" si="129"/>
        <v>29.904000000000011</v>
      </c>
      <c r="F70" s="47">
        <f t="shared" ref="F70:H70" si="130">F52-F65</f>
        <v>38.336999999999996</v>
      </c>
      <c r="G70" s="12">
        <f t="shared" si="130"/>
        <v>23.804000000000002</v>
      </c>
      <c r="H70" s="47">
        <f>S70</f>
        <v>13.383999999999986</v>
      </c>
      <c r="I70" s="12">
        <f t="shared" ref="I70:K70" si="131">I52-I65</f>
        <v>9.4099999999999682</v>
      </c>
      <c r="J70" s="47">
        <f>U70</f>
        <v>0.3779999999999859</v>
      </c>
      <c r="K70" s="12">
        <f t="shared" si="131"/>
        <v>10.260000000000019</v>
      </c>
      <c r="L70" s="47">
        <f>U70</f>
        <v>0.3779999999999859</v>
      </c>
      <c r="M70" s="12">
        <f>M52-M65</f>
        <v>11.129000000000019</v>
      </c>
      <c r="N70" s="47">
        <f>V70</f>
        <v>1.6539999999999964</v>
      </c>
      <c r="Q70" s="12">
        <f t="shared" ref="Q70:R70" si="132">Q52-Q65</f>
        <v>7.9500000000000028</v>
      </c>
      <c r="R70" s="12">
        <f t="shared" si="132"/>
        <v>38.336999999999996</v>
      </c>
      <c r="S70" s="12">
        <f t="shared" ref="S70:T70" si="133">S52-S65</f>
        <v>13.383999999999986</v>
      </c>
      <c r="T70" s="12">
        <f t="shared" si="133"/>
        <v>8.8290000000000362</v>
      </c>
      <c r="U70" s="12">
        <f t="shared" ref="U70" si="134">U52-U65</f>
        <v>0.3779999999999859</v>
      </c>
      <c r="V70" s="12">
        <f>V52-V65</f>
        <v>1.6539999999999964</v>
      </c>
    </row>
    <row r="71" spans="2:34" x14ac:dyDescent="0.2">
      <c r="B71" s="1" t="s">
        <v>89</v>
      </c>
      <c r="C71" s="1">
        <f t="shared" ref="C71" si="135">C70/C18</f>
        <v>4.8960000000000038E-2</v>
      </c>
      <c r="D71" s="49">
        <f t="shared" ref="D71:E71" si="136">D70/D18</f>
        <v>0.17790216557956515</v>
      </c>
      <c r="E71" s="1">
        <f t="shared" si="136"/>
        <v>0.47846400000000017</v>
      </c>
      <c r="F71" s="49">
        <f t="shared" ref="F71:H71" si="137">F70/F18</f>
        <v>0.65492777071073893</v>
      </c>
      <c r="G71" s="1">
        <f t="shared" si="137"/>
        <v>0.38086400000000004</v>
      </c>
      <c r="H71" s="49">
        <f t="shared" si="137"/>
        <v>0.21414399999999978</v>
      </c>
      <c r="I71" s="1">
        <f t="shared" ref="I71:J71" si="138">I70/I18</f>
        <v>0.1505599999999995</v>
      </c>
      <c r="J71" s="49">
        <f t="shared" si="138"/>
        <v>6.047999999999774E-3</v>
      </c>
      <c r="K71" s="1">
        <f t="shared" ref="K71:M71" si="139">K70/K18</f>
        <v>0.16416000000000031</v>
      </c>
      <c r="L71" s="49">
        <f t="shared" si="139"/>
        <v>6.047999999999774E-3</v>
      </c>
      <c r="M71" s="1">
        <f t="shared" si="139"/>
        <v>0.17806400000000031</v>
      </c>
      <c r="N71" s="49">
        <f t="shared" ref="N71" si="140">N70/N18</f>
        <v>2.6463999999999942E-2</v>
      </c>
      <c r="Q71" s="1">
        <f t="shared" ref="Q71:R71" si="141">Q70/Q18</f>
        <v>0.17790216557956515</v>
      </c>
      <c r="R71" s="1">
        <f t="shared" si="141"/>
        <v>0.65492777071073893</v>
      </c>
      <c r="S71" s="1">
        <f t="shared" ref="S71:T71" si="142">S70/S18</f>
        <v>0.21414399999999978</v>
      </c>
      <c r="T71" s="1">
        <f t="shared" si="142"/>
        <v>0.14126400000000058</v>
      </c>
      <c r="U71" s="1">
        <f>U70/U18</f>
        <v>6.047999999999774E-3</v>
      </c>
      <c r="V71" s="1">
        <f>V70/V18</f>
        <v>2.6463999999999942E-2</v>
      </c>
    </row>
    <row r="73" spans="2:34" x14ac:dyDescent="0.2">
      <c r="B73" s="1" t="s">
        <v>5</v>
      </c>
      <c r="C73" s="12">
        <f t="shared" ref="C73" si="143">C49+C51</f>
        <v>0</v>
      </c>
      <c r="D73" s="47">
        <f t="shared" ref="D73:E73" si="144">D49+D51</f>
        <v>7.5090000000000003</v>
      </c>
      <c r="E73" s="12">
        <f t="shared" si="144"/>
        <v>0.623</v>
      </c>
      <c r="F73" s="47">
        <f t="shared" ref="F73:H73" si="145">F49+F51</f>
        <v>3.8449999999999998</v>
      </c>
      <c r="G73" s="12">
        <f t="shared" si="145"/>
        <v>0.6</v>
      </c>
      <c r="H73" s="47">
        <f t="shared" ref="H73:I73" si="146">H49+H51</f>
        <v>8.077</v>
      </c>
      <c r="I73" s="12">
        <f t="shared" ref="I73:J73" si="147">I49+I51</f>
        <v>18.905000000000001</v>
      </c>
      <c r="J73" s="47">
        <f t="shared" si="147"/>
        <v>8.3149999999999995</v>
      </c>
      <c r="K73" s="12">
        <f t="shared" ref="K73:M73" si="148">K49+K51</f>
        <v>18.208000000000002</v>
      </c>
      <c r="L73" s="47">
        <f t="shared" si="148"/>
        <v>18.673000000000002</v>
      </c>
      <c r="M73" s="12">
        <f t="shared" si="148"/>
        <v>12.746</v>
      </c>
      <c r="N73" s="47">
        <f t="shared" ref="N73" si="149">N49+N51</f>
        <v>10.196</v>
      </c>
      <c r="Q73" s="12">
        <f t="shared" ref="Q73:R73" si="150">Q49+Q51</f>
        <v>7.5090000000000003</v>
      </c>
      <c r="R73" s="12">
        <f t="shared" si="150"/>
        <v>3.8449999999999998</v>
      </c>
      <c r="S73" s="12">
        <f t="shared" ref="S73:U73" si="151">S49+S51</f>
        <v>8.077</v>
      </c>
      <c r="T73" s="12">
        <f t="shared" si="151"/>
        <v>8.3149999999999995</v>
      </c>
      <c r="U73" s="12">
        <f t="shared" si="151"/>
        <v>18.673000000000002</v>
      </c>
      <c r="V73" s="12">
        <f>V49+V51</f>
        <v>10.196</v>
      </c>
    </row>
    <row r="74" spans="2:34" x14ac:dyDescent="0.2">
      <c r="B74" s="1" t="s">
        <v>6</v>
      </c>
      <c r="C74" s="12">
        <f t="shared" ref="C74" si="152">+C62+C59+C55+C54</f>
        <v>31.131999999999998</v>
      </c>
      <c r="D74" s="47">
        <f t="shared" ref="D74:E74" si="153">+D62+D59+D55+D54</f>
        <v>31.457999999999998</v>
      </c>
      <c r="E74" s="12">
        <f t="shared" si="153"/>
        <v>4.5909999999999993</v>
      </c>
      <c r="F74" s="47">
        <f t="shared" ref="F74:H74" si="154">+F62+F59+F55+F54</f>
        <v>0.65800000000000003</v>
      </c>
      <c r="G74" s="12">
        <f t="shared" si="154"/>
        <v>15.468</v>
      </c>
      <c r="H74" s="47">
        <f t="shared" ref="H74:I74" si="155">+H62+H59+H55+H54</f>
        <v>13.554</v>
      </c>
      <c r="I74" s="12">
        <f t="shared" ref="I74:J74" si="156">+I62+I59+I55+I54</f>
        <v>7.2460000000000004</v>
      </c>
      <c r="J74" s="47">
        <f t="shared" si="156"/>
        <v>8.7439999999999998</v>
      </c>
      <c r="K74" s="12">
        <f t="shared" ref="K74:M74" si="157">+K62+K59+K55+K54</f>
        <v>0.43999999999999995</v>
      </c>
      <c r="L74" s="47">
        <f t="shared" si="157"/>
        <v>0</v>
      </c>
      <c r="M74" s="12">
        <f t="shared" si="157"/>
        <v>4</v>
      </c>
      <c r="N74" s="47">
        <f t="shared" ref="N74" si="158">+N62+N59+N55+N54</f>
        <v>1.048</v>
      </c>
      <c r="Q74" s="12">
        <f t="shared" ref="Q74:R74" si="159">+Q62+Q59+Q55+Q54</f>
        <v>31.457999999999998</v>
      </c>
      <c r="R74" s="12">
        <f t="shared" si="159"/>
        <v>0.65800000000000003</v>
      </c>
      <c r="S74" s="12">
        <f>+S62+S59+S55+S54</f>
        <v>13.554</v>
      </c>
      <c r="T74" s="12">
        <f>+T62+T59+T55+T54</f>
        <v>8.7439999999999998</v>
      </c>
      <c r="U74" s="12">
        <f>+U62+U59+U55+U54</f>
        <v>0</v>
      </c>
      <c r="V74" s="12">
        <f>+V62+V59+V55+V54</f>
        <v>1.048</v>
      </c>
    </row>
    <row r="75" spans="2:34" x14ac:dyDescent="0.2">
      <c r="B75" s="1" t="s">
        <v>7</v>
      </c>
      <c r="C75" s="12">
        <f t="shared" ref="C75" si="160">C73-C74</f>
        <v>-31.131999999999998</v>
      </c>
      <c r="D75" s="47">
        <f t="shared" ref="D75:E75" si="161">D73-D74</f>
        <v>-23.948999999999998</v>
      </c>
      <c r="E75" s="12">
        <f t="shared" si="161"/>
        <v>-3.9679999999999991</v>
      </c>
      <c r="F75" s="47">
        <f t="shared" ref="F75:H75" si="162">F73-F74</f>
        <v>3.1869999999999998</v>
      </c>
      <c r="G75" s="12">
        <f t="shared" si="162"/>
        <v>-14.868</v>
      </c>
      <c r="H75" s="47">
        <f t="shared" ref="H75:I75" si="163">H73-H74</f>
        <v>-5.4770000000000003</v>
      </c>
      <c r="I75" s="12">
        <f t="shared" ref="I75:J75" si="164">I73-I74</f>
        <v>11.659000000000001</v>
      </c>
      <c r="J75" s="47">
        <f t="shared" si="164"/>
        <v>-0.42900000000000027</v>
      </c>
      <c r="K75" s="12">
        <f t="shared" ref="K75:M75" si="165">K73-K74</f>
        <v>17.768000000000001</v>
      </c>
      <c r="L75" s="47">
        <f t="shared" si="165"/>
        <v>18.673000000000002</v>
      </c>
      <c r="M75" s="12">
        <f t="shared" si="165"/>
        <v>8.7460000000000004</v>
      </c>
      <c r="N75" s="47">
        <f t="shared" ref="N75" si="166">N73-N74</f>
        <v>9.1479999999999997</v>
      </c>
      <c r="Q75" s="12">
        <f t="shared" ref="Q75:R75" si="167">Q73-Q74</f>
        <v>-23.948999999999998</v>
      </c>
      <c r="R75" s="12">
        <f t="shared" si="167"/>
        <v>3.1869999999999998</v>
      </c>
      <c r="S75" s="12">
        <f t="shared" ref="S75:U75" si="168">S73-S74</f>
        <v>-5.4770000000000003</v>
      </c>
      <c r="T75" s="12">
        <f t="shared" si="168"/>
        <v>-0.42900000000000027</v>
      </c>
      <c r="U75" s="12">
        <f t="shared" si="168"/>
        <v>18.673000000000002</v>
      </c>
      <c r="V75" s="12">
        <f>V73-V74</f>
        <v>9.1479999999999997</v>
      </c>
    </row>
    <row r="77" spans="2:34" s="38" customFormat="1" x14ac:dyDescent="0.2">
      <c r="B77" s="38" t="s">
        <v>90</v>
      </c>
      <c r="C77" s="59" t="s">
        <v>109</v>
      </c>
      <c r="D77" s="55">
        <f>Q77</f>
        <v>1.4932000000000001</v>
      </c>
      <c r="E77" s="38">
        <v>1.0988</v>
      </c>
      <c r="F77" s="55">
        <f>R77</f>
        <v>1.0077</v>
      </c>
      <c r="H77" s="55">
        <f>S77</f>
        <v>0.25829999999999997</v>
      </c>
      <c r="J77" s="55">
        <f>T77</f>
        <v>0.5605</v>
      </c>
      <c r="L77" s="55">
        <f>U77</f>
        <v>0.52200000000000002</v>
      </c>
      <c r="N77" s="55">
        <f>V77</f>
        <v>0.29620000000000002</v>
      </c>
      <c r="Q77" s="38">
        <v>1.4932000000000001</v>
      </c>
      <c r="R77" s="38">
        <v>1.0077</v>
      </c>
      <c r="S77" s="38">
        <v>0.25829999999999997</v>
      </c>
      <c r="T77" s="38">
        <v>0.5605</v>
      </c>
      <c r="U77" s="38">
        <v>0.52200000000000002</v>
      </c>
      <c r="V77" s="38">
        <v>0.29620000000000002</v>
      </c>
      <c r="W77" s="97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</row>
    <row r="78" spans="2:34" s="12" customFormat="1" x14ac:dyDescent="0.2">
      <c r="B78" s="12" t="s">
        <v>4</v>
      </c>
      <c r="C78" s="60" t="s">
        <v>109</v>
      </c>
      <c r="D78" s="47">
        <f>D77*D18</f>
        <v>66.727349615600005</v>
      </c>
      <c r="E78" s="12">
        <f>E77*E18</f>
        <v>68.674999999999997</v>
      </c>
      <c r="F78" s="47">
        <f>F77*F18</f>
        <v>58.9869549402</v>
      </c>
      <c r="H78" s="47">
        <f>H77*H18</f>
        <v>16.143749999999997</v>
      </c>
      <c r="J78" s="47">
        <f>J77*J18</f>
        <v>35.03125</v>
      </c>
      <c r="L78" s="47">
        <f>L77*L18</f>
        <v>32.625</v>
      </c>
      <c r="N78" s="47">
        <f>N77*N18</f>
        <v>18.512500000000003</v>
      </c>
      <c r="Q78" s="12">
        <f t="shared" ref="Q78:R78" si="169">Q77*Q18</f>
        <v>66.727349615600005</v>
      </c>
      <c r="R78" s="12">
        <f t="shared" si="169"/>
        <v>58.9869549402</v>
      </c>
      <c r="S78" s="12">
        <f t="shared" ref="S78:T78" si="170">S77*S18</f>
        <v>16.143749999999997</v>
      </c>
      <c r="T78" s="12">
        <f t="shared" si="170"/>
        <v>35.03125</v>
      </c>
      <c r="U78" s="12">
        <f>U77*U18</f>
        <v>32.625</v>
      </c>
      <c r="V78" s="12">
        <f>V77*V18</f>
        <v>18.512500000000003</v>
      </c>
      <c r="W78" s="96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</row>
    <row r="79" spans="2:34" s="12" customFormat="1" x14ac:dyDescent="0.2">
      <c r="B79" s="12" t="s">
        <v>8</v>
      </c>
      <c r="C79" s="60" t="s">
        <v>109</v>
      </c>
      <c r="D79" s="47">
        <f>D78-D75</f>
        <v>90.676349615600003</v>
      </c>
      <c r="E79" s="12">
        <f>E78-E75</f>
        <v>72.643000000000001</v>
      </c>
      <c r="F79" s="47">
        <f>F78-F75</f>
        <v>55.799954940200003</v>
      </c>
      <c r="H79" s="47">
        <f>H78-H75</f>
        <v>21.620749999999997</v>
      </c>
      <c r="J79" s="47">
        <f>J78-J75</f>
        <v>35.460250000000002</v>
      </c>
      <c r="L79" s="47">
        <f>L78-L75</f>
        <v>13.951999999999998</v>
      </c>
      <c r="N79" s="47">
        <f>N78-N75</f>
        <v>9.3645000000000032</v>
      </c>
      <c r="Q79" s="12">
        <f t="shared" ref="Q79:R79" si="171">Q78-Q75</f>
        <v>90.676349615600003</v>
      </c>
      <c r="R79" s="12">
        <f t="shared" si="171"/>
        <v>55.799954940200003</v>
      </c>
      <c r="S79" s="12">
        <f t="shared" ref="S79:T79" si="172">S78-S75</f>
        <v>21.620749999999997</v>
      </c>
      <c r="T79" s="12">
        <f t="shared" si="172"/>
        <v>35.460250000000002</v>
      </c>
      <c r="U79" s="12">
        <f>U78-U75</f>
        <v>13.951999999999998</v>
      </c>
      <c r="V79" s="12">
        <f>V78-V75</f>
        <v>9.3645000000000032</v>
      </c>
      <c r="W79" s="96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</row>
    <row r="80" spans="2:34" x14ac:dyDescent="0.2">
      <c r="C80" s="61"/>
    </row>
    <row r="81" spans="1:34" s="39" customFormat="1" x14ac:dyDescent="0.2">
      <c r="A81" s="42">
        <f>AVERAGE(Q81:V81)</f>
        <v>18.768008930762893</v>
      </c>
      <c r="B81" s="39" t="s">
        <v>91</v>
      </c>
      <c r="C81" s="62" t="s">
        <v>109</v>
      </c>
      <c r="D81" s="56">
        <f>D77/D71</f>
        <v>8.3933773101383622</v>
      </c>
      <c r="E81" s="39">
        <f t="shared" ref="E81:N81" si="173">E77/E71</f>
        <v>2.2965155163188862</v>
      </c>
      <c r="F81" s="56">
        <f t="shared" si="173"/>
        <v>1.5386429543313251</v>
      </c>
      <c r="H81" s="56">
        <f t="shared" si="173"/>
        <v>1.2061976987447709</v>
      </c>
      <c r="J81" s="56">
        <f t="shared" si="173"/>
        <v>92.675264550268011</v>
      </c>
      <c r="L81" s="56">
        <f t="shared" si="173"/>
        <v>86.309523809527036</v>
      </c>
      <c r="N81" s="56">
        <f t="shared" si="173"/>
        <v>11.192563482466772</v>
      </c>
      <c r="Q81" s="39">
        <f t="shared" ref="Q81:R81" si="174">Q77/Q71</f>
        <v>8.3933773101383622</v>
      </c>
      <c r="R81" s="39">
        <f t="shared" si="174"/>
        <v>1.5386429543313251</v>
      </c>
      <c r="S81" s="39">
        <f t="shared" ref="S81:U81" si="175">S77/S71</f>
        <v>1.2061976987447709</v>
      </c>
      <c r="T81" s="39">
        <f t="shared" si="175"/>
        <v>3.9677483293691083</v>
      </c>
      <c r="U81" s="39">
        <f t="shared" si="175"/>
        <v>86.309523809527036</v>
      </c>
      <c r="V81" s="39">
        <f>V77/V71</f>
        <v>11.192563482466772</v>
      </c>
      <c r="W81" s="104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</row>
    <row r="82" spans="1:34" s="39" customFormat="1" x14ac:dyDescent="0.2">
      <c r="A82" s="42">
        <f t="shared" ref="A82:A85" si="176">AVERAGE(Q82:V82)</f>
        <v>0.17893332654748065</v>
      </c>
      <c r="B82" s="39" t="s">
        <v>92</v>
      </c>
      <c r="C82" s="62" t="s">
        <v>109</v>
      </c>
      <c r="D82" s="56">
        <f>D78/SUM(C4:D4)</f>
        <v>0.34735736395419053</v>
      </c>
      <c r="E82" s="39">
        <f t="shared" ref="E82:N82" si="177">E78/SUM(D4:E4)</f>
        <v>0.33653822594002836</v>
      </c>
      <c r="F82" s="56">
        <f t="shared" si="177"/>
        <v>0.27124305045868607</v>
      </c>
      <c r="H82" s="56">
        <f t="shared" si="177"/>
        <v>7.1736609166288948E-2</v>
      </c>
      <c r="J82" s="56">
        <f t="shared" si="177"/>
        <v>0.19388559884879344</v>
      </c>
      <c r="L82" s="56">
        <f t="shared" si="177"/>
        <v>0.12328534179798209</v>
      </c>
      <c r="N82" s="56">
        <f t="shared" si="177"/>
        <v>6.6091995058942823E-2</v>
      </c>
      <c r="Q82" s="39">
        <f t="shared" ref="Q82:R82" si="178">Q78/Q4</f>
        <v>0.34735736395419053</v>
      </c>
      <c r="R82" s="39">
        <f t="shared" si="178"/>
        <v>0.27124305045868607</v>
      </c>
      <c r="S82" s="39">
        <f t="shared" ref="S82:U82" si="179">S78/S4</f>
        <v>7.1736609166288948E-2</v>
      </c>
      <c r="T82" s="39">
        <f t="shared" si="179"/>
        <v>0.19388559884879344</v>
      </c>
      <c r="U82" s="39">
        <f t="shared" si="179"/>
        <v>0.12328534179798209</v>
      </c>
      <c r="V82" s="39">
        <f>V78/V4</f>
        <v>6.6091995058942823E-2</v>
      </c>
      <c r="W82" s="104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</row>
    <row r="83" spans="1:34" s="39" customFormat="1" x14ac:dyDescent="0.2">
      <c r="A83" s="42">
        <f t="shared" si="176"/>
        <v>0.18451737984831873</v>
      </c>
      <c r="B83" s="39" t="s">
        <v>93</v>
      </c>
      <c r="C83" s="62" t="s">
        <v>109</v>
      </c>
      <c r="D83" s="56">
        <f>D79/SUM(C4:D4)</f>
        <v>0.47202680695262889</v>
      </c>
      <c r="E83" s="39">
        <f t="shared" ref="E83:N83" si="180">E79/SUM(D4:E4)</f>
        <v>0.35598320126627564</v>
      </c>
      <c r="F83" s="56">
        <f t="shared" si="180"/>
        <v>0.25658808814221801</v>
      </c>
      <c r="H83" s="56">
        <f t="shared" si="180"/>
        <v>9.6074288355062598E-2</v>
      </c>
      <c r="J83" s="56">
        <f t="shared" si="180"/>
        <v>0.19625996236440116</v>
      </c>
      <c r="L83" s="56">
        <f t="shared" si="180"/>
        <v>5.2722669387446616E-2</v>
      </c>
      <c r="N83" s="56">
        <f t="shared" si="180"/>
        <v>3.3432463888155045E-2</v>
      </c>
      <c r="Q83" s="39">
        <f t="shared" ref="Q83:R83" si="181">Q79/Q4</f>
        <v>0.47202680695262889</v>
      </c>
      <c r="R83" s="39">
        <f t="shared" si="181"/>
        <v>0.25658808814221801</v>
      </c>
      <c r="S83" s="39">
        <f t="shared" ref="S83:U83" si="182">S79/S4</f>
        <v>9.6074288355062598E-2</v>
      </c>
      <c r="T83" s="39">
        <f t="shared" si="182"/>
        <v>0.19625996236440116</v>
      </c>
      <c r="U83" s="39">
        <f t="shared" si="182"/>
        <v>5.2722669387446616E-2</v>
      </c>
      <c r="V83" s="39">
        <f>V79/V4</f>
        <v>3.3432463888155045E-2</v>
      </c>
      <c r="W83" s="104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</row>
    <row r="84" spans="1:34" s="39" customFormat="1" x14ac:dyDescent="0.2">
      <c r="A84" s="42">
        <f t="shared" si="176"/>
        <v>13.291381731534976</v>
      </c>
      <c r="B84" s="39" t="s">
        <v>94</v>
      </c>
      <c r="C84" s="62" t="s">
        <v>109</v>
      </c>
      <c r="D84" s="56">
        <f>D77/SUM(C17:D17)</f>
        <v>24.992210832955447</v>
      </c>
      <c r="E84" s="39">
        <f t="shared" ref="E84:N84" si="183">E77/SUM(D17:E17)</f>
        <v>659.30041671412619</v>
      </c>
      <c r="F84" s="56">
        <f t="shared" si="183"/>
        <v>38.126540929083887</v>
      </c>
      <c r="H84" s="56">
        <f t="shared" si="183"/>
        <v>-0.91197322336459208</v>
      </c>
      <c r="J84" s="56">
        <f t="shared" si="183"/>
        <v>-15.237603305785111</v>
      </c>
      <c r="L84" s="56">
        <f t="shared" si="183"/>
        <v>2.3365322638401489</v>
      </c>
      <c r="N84" s="56">
        <f t="shared" si="183"/>
        <v>3.5121419085562793</v>
      </c>
      <c r="Q84" s="39">
        <f t="shared" ref="Q84:R84" si="184">Q77/Q17</f>
        <v>37.382268692213067</v>
      </c>
      <c r="R84" s="39">
        <f t="shared" si="184"/>
        <v>52.666924053750101</v>
      </c>
      <c r="S84" s="39">
        <f t="shared" ref="S84:U84" si="185">S77/S17</f>
        <v>-0.91197322336459175</v>
      </c>
      <c r="T84" s="39">
        <f t="shared" si="185"/>
        <v>-15.237603305785134</v>
      </c>
      <c r="U84" s="39">
        <f t="shared" si="185"/>
        <v>2.3365322638401516</v>
      </c>
      <c r="V84" s="39">
        <f>V77/V17</f>
        <v>3.5121419085562633</v>
      </c>
      <c r="W84" s="104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</row>
    <row r="85" spans="1:34" s="39" customFormat="1" x14ac:dyDescent="0.2">
      <c r="A85" s="42">
        <f t="shared" si="176"/>
        <v>14.458450724098796</v>
      </c>
      <c r="B85" s="39" t="s">
        <v>95</v>
      </c>
      <c r="C85" s="62" t="s">
        <v>109</v>
      </c>
      <c r="D85" s="56">
        <f>D79/SUM(C16:D16)</f>
        <v>50.799075414902113</v>
      </c>
      <c r="E85" s="39">
        <f t="shared" ref="E85:N85" si="186">E79/SUM(D16:E16)</f>
        <v>-39.372899728997183</v>
      </c>
      <c r="F85" s="56">
        <f t="shared" si="186"/>
        <v>49.821388339464484</v>
      </c>
      <c r="H85" s="56">
        <f t="shared" si="186"/>
        <v>-1.2213732911535424</v>
      </c>
      <c r="J85" s="56">
        <f t="shared" si="186"/>
        <v>-15.42420617659851</v>
      </c>
      <c r="L85" s="56">
        <f t="shared" si="186"/>
        <v>0.99921220368115715</v>
      </c>
      <c r="N85" s="56">
        <f t="shared" si="186"/>
        <v>1.776607854297112</v>
      </c>
      <c r="Q85" s="39">
        <f t="shared" ref="Q85:R85" si="187">Q79/Q16</f>
        <v>50.799075414902212</v>
      </c>
      <c r="R85" s="39">
        <f t="shared" si="187"/>
        <v>49.821388339464384</v>
      </c>
      <c r="S85" s="39">
        <f t="shared" ref="S85:U85" si="188">S79/S16</f>
        <v>-1.2213732911535422</v>
      </c>
      <c r="T85" s="39">
        <f t="shared" si="188"/>
        <v>-15.424206176598531</v>
      </c>
      <c r="U85" s="39">
        <f t="shared" si="188"/>
        <v>0.99921220368115826</v>
      </c>
      <c r="V85" s="39">
        <f>V79/V16</f>
        <v>1.776607854297104</v>
      </c>
      <c r="W85" s="104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</row>
    <row r="87" spans="1:34" s="27" customFormat="1" x14ac:dyDescent="0.2">
      <c r="A87" s="126">
        <f>AVERAGE(D87:N87)</f>
        <v>0.15240009091667936</v>
      </c>
      <c r="B87" s="27" t="s">
        <v>97</v>
      </c>
      <c r="C87" s="41" t="s">
        <v>109</v>
      </c>
      <c r="D87" s="51">
        <f>D47/SUM(C4:D4)</f>
        <v>0.11189484643414889</v>
      </c>
      <c r="E87" s="27">
        <f>E47/SUM(D4:E4)</f>
        <v>0.17782743564487438</v>
      </c>
      <c r="F87" s="51">
        <f>F47/SUM(E4:F4)</f>
        <v>0.11568085566218633</v>
      </c>
      <c r="G87" s="27">
        <f>G47/SUM(F4:G4)</f>
        <v>0.19115947568406144</v>
      </c>
      <c r="H87" s="51">
        <f>H47/SUM(G4:H4)</f>
        <v>0.11817349650287502</v>
      </c>
      <c r="I87" s="27">
        <f>I47/SUM(H4:I4)</f>
        <v>0.17703947489382044</v>
      </c>
      <c r="J87" s="51">
        <f>J47/SUM(I4:J4)</f>
        <v>0.16123533318574276</v>
      </c>
      <c r="K87" s="27">
        <f>K47/SUM(J4:K4)</f>
        <v>0.19267838497182702</v>
      </c>
      <c r="L87" s="51">
        <f>L47/SUM(K4:L4)</f>
        <v>0.11104938971394022</v>
      </c>
      <c r="M87" s="27">
        <f>M47/SUM(L4:M4)</f>
        <v>0.20027365611296163</v>
      </c>
      <c r="N87" s="51">
        <f>N47/SUM(M4:N4)</f>
        <v>0.11938865127703481</v>
      </c>
      <c r="Q87" s="27">
        <f t="shared" ref="Q87:R87" si="189">Q47/Q4</f>
        <v>0.11189484643414889</v>
      </c>
      <c r="R87" s="27">
        <f t="shared" si="189"/>
        <v>0.11568085566218633</v>
      </c>
      <c r="S87" s="27">
        <f t="shared" ref="S87:T87" si="190">S47/S4</f>
        <v>0.11817349650287502</v>
      </c>
      <c r="T87" s="27">
        <f t="shared" si="190"/>
        <v>0.16123533318574276</v>
      </c>
      <c r="U87" s="27">
        <f>U47/U4</f>
        <v>0.11104938971394022</v>
      </c>
      <c r="V87" s="27">
        <f>V47/V4</f>
        <v>0.11938865127703481</v>
      </c>
      <c r="W87" s="99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</row>
    <row r="88" spans="1:34" s="27" customFormat="1" x14ac:dyDescent="0.2">
      <c r="B88" s="27" t="s">
        <v>98</v>
      </c>
      <c r="C88" s="41" t="s">
        <v>109</v>
      </c>
      <c r="D88" s="63" t="s">
        <v>109</v>
      </c>
      <c r="E88" s="27">
        <f>E47/C47-1</f>
        <v>0.17148760330578505</v>
      </c>
      <c r="F88" s="51">
        <f>F47/D47-1</f>
        <v>0.17036520120958354</v>
      </c>
      <c r="G88" s="27">
        <f>G47/E47-1</f>
        <v>0.17148919753086433</v>
      </c>
      <c r="H88" s="51">
        <f>H47/F47-1</f>
        <v>5.7121278371824902E-2</v>
      </c>
      <c r="I88" s="27">
        <f>I47/G47-1</f>
        <v>-9.3975676883630177E-2</v>
      </c>
      <c r="J88" s="51">
        <f>J47/H47-1</f>
        <v>9.5435060539971417E-2</v>
      </c>
      <c r="K88" s="27">
        <f>K47/I47-1</f>
        <v>3.964586146017246E-2</v>
      </c>
      <c r="L88" s="51">
        <f>L47/J47-1</f>
        <v>8.7532610188107984E-3</v>
      </c>
      <c r="M88" s="27">
        <f>M47/K47-1</f>
        <v>0.33783682541268134</v>
      </c>
      <c r="N88" s="51">
        <f>N47/L47-1</f>
        <v>0.13795215571511221</v>
      </c>
      <c r="Q88" s="41" t="s">
        <v>109</v>
      </c>
      <c r="R88" s="27">
        <f t="shared" ref="R88" si="191">R47/Q47-1</f>
        <v>0.17036520120958354</v>
      </c>
      <c r="S88" s="27">
        <f t="shared" ref="S88" si="192">S47/R47-1</f>
        <v>5.7121278371824902E-2</v>
      </c>
      <c r="T88" s="27">
        <f t="shared" ref="T88:U88" si="193">T47/S47-1</f>
        <v>9.5435060539971417E-2</v>
      </c>
      <c r="U88" s="27">
        <f t="shared" si="193"/>
        <v>8.7532610188107984E-3</v>
      </c>
      <c r="V88" s="27">
        <f>V47/U47-1</f>
        <v>0.13795215571511221</v>
      </c>
      <c r="W88" s="99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</row>
    <row r="89" spans="1:34" s="64" customFormat="1" x14ac:dyDescent="0.2">
      <c r="B89" s="64" t="s">
        <v>120</v>
      </c>
      <c r="C89" s="41" t="s">
        <v>109</v>
      </c>
      <c r="D89" s="65">
        <f>D47/C47-1</f>
        <v>-0.30607567148760328</v>
      </c>
      <c r="E89" s="66">
        <f t="shared" ref="E89:F89" si="194">E47/D47-1</f>
        <v>0.68820655966503819</v>
      </c>
      <c r="F89" s="65">
        <f t="shared" si="194"/>
        <v>-0.3067405202821869</v>
      </c>
      <c r="G89" s="66">
        <f t="shared" ref="G89" si="195">G47/F47-1</f>
        <v>0.68982788090789859</v>
      </c>
      <c r="H89" s="65">
        <f t="shared" ref="H89" si="196">H47/G47-1</f>
        <v>-0.37442073816188748</v>
      </c>
      <c r="I89" s="66">
        <f t="shared" ref="I89" si="197">I47/H47-1</f>
        <v>0.44829660825750151</v>
      </c>
      <c r="J89" s="65">
        <f t="shared" ref="J89" si="198">J47/I47-1</f>
        <v>-0.24363900716585307</v>
      </c>
      <c r="K89" s="66">
        <f t="shared" ref="K89" si="199">K47/J47-1</f>
        <v>0.37453659206370982</v>
      </c>
      <c r="L89" s="65">
        <f t="shared" ref="L89" si="200">L47/K47-1</f>
        <v>-0.26611392752790752</v>
      </c>
      <c r="M89" s="66">
        <f t="shared" ref="M89" si="201">M47/L47-1</f>
        <v>0.82294892299316014</v>
      </c>
      <c r="N89" s="65">
        <f t="shared" ref="N89" si="202">N47/M47-1</f>
        <v>-0.37576300610404878</v>
      </c>
      <c r="W89" s="91"/>
    </row>
  </sheetData>
  <phoneticPr fontId="7" type="noConversion"/>
  <hyperlinks>
    <hyperlink ref="V1" r:id="rId1" xr:uid="{852A9864-364C-4C85-A1D2-5243B0E23DF9}"/>
    <hyperlink ref="T1" r:id="rId2" xr:uid="{AB4CD6C0-D5F2-4242-8AB4-FF7D7A2DF290}"/>
    <hyperlink ref="R1" r:id="rId3" xr:uid="{18E2FA9A-C3E7-4F1F-BBAA-C74AE5514257}"/>
    <hyperlink ref="E1" r:id="rId4" xr:uid="{269BD843-A530-4543-BC4C-C4C1B4FC7BFF}"/>
    <hyperlink ref="I1" r:id="rId5" xr:uid="{D7E7CF64-5554-424C-BE2E-1598293BB4B7}"/>
    <hyperlink ref="M1" r:id="rId6" xr:uid="{6561C5C7-1EED-4476-9615-DAEBB6FCE9BD}"/>
  </hyperlinks>
  <pageMargins left="0.7" right="0.7" top="0.75" bottom="0.75" header="0.3" footer="0.3"/>
  <pageSetup paperSize="125" orientation="portrait" horizontalDpi="203" verticalDpi="203" r:id="rId7"/>
  <ignoredErrors>
    <ignoredError sqref="D6:D16 F6:F16 D46 D61:D63 F46:F62 H6:H14 J6:J16 H46:H52 H61 H70:H75 I70:K70 J46:J69 L6:L18 N6:N16 L46:L65 N46:N65 L70:L71" formula="1"/>
    <ignoredError sqref="W7" formulaRange="1"/>
  </ignoredErrors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me</cp:lastModifiedBy>
  <dcterms:created xsi:type="dcterms:W3CDTF">2023-10-14T12:44:08Z</dcterms:created>
  <dcterms:modified xsi:type="dcterms:W3CDTF">2023-10-18T14:18:05Z</dcterms:modified>
</cp:coreProperties>
</file>