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54CF69F-F907-4B66-A8A4-4562DC3E08B7}" xr6:coauthVersionLast="36" xr6:coauthVersionMax="36" xr10:uidLastSave="{00000000-0000-0000-0000-000000000000}"/>
  <bookViews>
    <workbookView xWindow="0" yWindow="0" windowWidth="28800" windowHeight="12225" activeTab="1" xr2:uid="{77D9C7A4-F0C3-486A-8AA0-E7E6A271416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2" l="1"/>
  <c r="N35" i="2"/>
  <c r="N34" i="2"/>
  <c r="R34" i="2"/>
  <c r="Q34" i="2"/>
  <c r="P34" i="2"/>
  <c r="O34" i="2"/>
  <c r="R23" i="2"/>
  <c r="Q23" i="2"/>
  <c r="P23" i="2"/>
  <c r="O23" i="2"/>
  <c r="R22" i="2"/>
  <c r="Q22" i="2"/>
  <c r="P22" i="2"/>
  <c r="O22" i="2"/>
  <c r="R21" i="2"/>
  <c r="Q21" i="2"/>
  <c r="P21" i="2"/>
  <c r="O21" i="2"/>
  <c r="O24" i="2"/>
  <c r="N24" i="2"/>
  <c r="L24" i="2"/>
  <c r="N2" i="2"/>
  <c r="N36" i="2"/>
  <c r="N33" i="2"/>
  <c r="N29" i="2"/>
  <c r="N28" i="2"/>
  <c r="N27" i="2"/>
  <c r="N26" i="2"/>
  <c r="N18" i="2"/>
  <c r="N19" i="2"/>
  <c r="N16" i="2"/>
  <c r="N14" i="2"/>
  <c r="N13" i="2"/>
  <c r="N11" i="2"/>
  <c r="N10" i="2"/>
  <c r="N9" i="2"/>
  <c r="N7" i="2"/>
  <c r="N6" i="2"/>
  <c r="N5" i="2"/>
  <c r="N4" i="2"/>
  <c r="G36" i="2" l="1"/>
  <c r="K36" i="2"/>
  <c r="K34" i="2"/>
  <c r="AJ18" i="2"/>
  <c r="AJ19" i="2"/>
  <c r="AJ17" i="2"/>
  <c r="AJ28" i="2" s="1"/>
  <c r="AJ16" i="2"/>
  <c r="AJ15" i="2"/>
  <c r="AL14" i="2"/>
  <c r="AK14" i="2"/>
  <c r="AK13" i="2"/>
  <c r="AJ14" i="2"/>
  <c r="AJ13" i="2"/>
  <c r="AJ27" i="2"/>
  <c r="AJ12" i="2"/>
  <c r="AJ9" i="2"/>
  <c r="AJ7" i="2"/>
  <c r="AJ8" i="2"/>
  <c r="AK11" i="2"/>
  <c r="AL10" i="2"/>
  <c r="AK10" i="2"/>
  <c r="AJ11" i="2"/>
  <c r="AJ10" i="2"/>
  <c r="AJ6" i="2"/>
  <c r="G29" i="2"/>
  <c r="G28" i="2"/>
  <c r="G27" i="2"/>
  <c r="G26" i="2"/>
  <c r="K29" i="2"/>
  <c r="K28" i="2"/>
  <c r="K27" i="2"/>
  <c r="K26" i="2"/>
  <c r="K23" i="2"/>
  <c r="K22" i="2"/>
  <c r="K21" i="2"/>
  <c r="G18" i="2"/>
  <c r="K18" i="2"/>
  <c r="G6" i="2"/>
  <c r="K6" i="2"/>
  <c r="AH83" i="2"/>
  <c r="AH82" i="2"/>
  <c r="AH85" i="2"/>
  <c r="AH84" i="2"/>
  <c r="AH81" i="2"/>
  <c r="AH78" i="2"/>
  <c r="AH79" i="2" s="1"/>
  <c r="AH77" i="2"/>
  <c r="AH75" i="2"/>
  <c r="AH70" i="2"/>
  <c r="AH69" i="2"/>
  <c r="AH71" i="2" s="1"/>
  <c r="AH67" i="2"/>
  <c r="AH66" i="2"/>
  <c r="AH63" i="2"/>
  <c r="AH60" i="2"/>
  <c r="AH59" i="2"/>
  <c r="AH56" i="2"/>
  <c r="AH54" i="2"/>
  <c r="AH53" i="2"/>
  <c r="AH50" i="2"/>
  <c r="AH49" i="2"/>
  <c r="AH48" i="2"/>
  <c r="AH47" i="2"/>
  <c r="AH46" i="2"/>
  <c r="AH51" i="2" s="1"/>
  <c r="AH45" i="2"/>
  <c r="AH58" i="2"/>
  <c r="AH55" i="2"/>
  <c r="AH44" i="2"/>
  <c r="AH43" i="2"/>
  <c r="AH42" i="2"/>
  <c r="AH41" i="2"/>
  <c r="AM14" i="2" l="1"/>
  <c r="AL13" i="2"/>
  <c r="AL11" i="2"/>
  <c r="AM11" i="2" s="1"/>
  <c r="AM10" i="2"/>
  <c r="AH57" i="2"/>
  <c r="AH61" i="2" s="1"/>
  <c r="AH64" i="2" s="1"/>
  <c r="H29" i="2"/>
  <c r="H28" i="2"/>
  <c r="H27" i="2"/>
  <c r="H26" i="2"/>
  <c r="I24" i="2"/>
  <c r="L23" i="2"/>
  <c r="L22" i="2"/>
  <c r="L21" i="2"/>
  <c r="H18" i="2"/>
  <c r="M24" i="2"/>
  <c r="L29" i="2"/>
  <c r="L28" i="2"/>
  <c r="L27" i="2"/>
  <c r="L26" i="2"/>
  <c r="L18" i="2"/>
  <c r="H6" i="2"/>
  <c r="L6" i="2"/>
  <c r="AD8" i="2"/>
  <c r="AD12" i="2" s="1"/>
  <c r="AD15" i="2" s="1"/>
  <c r="AD17" i="2" s="1"/>
  <c r="M73" i="2"/>
  <c r="Q73" i="2"/>
  <c r="I66" i="2"/>
  <c r="I67" i="2" s="1"/>
  <c r="I48" i="2"/>
  <c r="M66" i="2"/>
  <c r="M67" i="2" s="1"/>
  <c r="M48" i="2"/>
  <c r="I36" i="2"/>
  <c r="M36" i="2"/>
  <c r="M34" i="2"/>
  <c r="M23" i="2"/>
  <c r="M22" i="2"/>
  <c r="M21" i="2"/>
  <c r="I29" i="2"/>
  <c r="I28" i="2"/>
  <c r="I27" i="2"/>
  <c r="I26" i="2"/>
  <c r="I18" i="2"/>
  <c r="M29" i="2"/>
  <c r="M28" i="2"/>
  <c r="M27" i="2"/>
  <c r="M26" i="2"/>
  <c r="M18" i="2"/>
  <c r="I6" i="2"/>
  <c r="M6" i="2"/>
  <c r="AN14" i="2" l="1"/>
  <c r="AO14" i="2"/>
  <c r="AP14" i="2" s="1"/>
  <c r="AM13" i="2"/>
  <c r="AN10" i="2"/>
  <c r="AN11" i="2"/>
  <c r="T75" i="2"/>
  <c r="S75" i="2"/>
  <c r="R75" i="2"/>
  <c r="U75" i="2"/>
  <c r="AR14" i="2" l="1"/>
  <c r="AN13" i="2"/>
  <c r="AO13" i="2"/>
  <c r="AQ14" i="2"/>
  <c r="AS14" i="2" s="1"/>
  <c r="AT14" i="2" s="1"/>
  <c r="AO11" i="2"/>
  <c r="AO10" i="2"/>
  <c r="AP10" i="2" s="1"/>
  <c r="C36" i="1"/>
  <c r="C38" i="1"/>
  <c r="T84" i="2"/>
  <c r="S84" i="2"/>
  <c r="R84" i="2"/>
  <c r="U84" i="2"/>
  <c r="AI19" i="2"/>
  <c r="AI14" i="2"/>
  <c r="AI13" i="2"/>
  <c r="AI11" i="2"/>
  <c r="AI10" i="2"/>
  <c r="V19" i="2"/>
  <c r="V14" i="2"/>
  <c r="V13" i="2"/>
  <c r="V11" i="2"/>
  <c r="V10" i="2"/>
  <c r="P24" i="2"/>
  <c r="R81" i="2"/>
  <c r="R78" i="2"/>
  <c r="R79" i="2" s="1"/>
  <c r="R67" i="2"/>
  <c r="AG36" i="2"/>
  <c r="R36" i="2"/>
  <c r="AG29" i="2"/>
  <c r="AG28" i="2"/>
  <c r="AG27" i="2"/>
  <c r="AG26" i="2"/>
  <c r="AH29" i="2"/>
  <c r="AH28" i="2"/>
  <c r="AH27" i="2"/>
  <c r="AH26" i="2"/>
  <c r="AH23" i="2"/>
  <c r="AH22" i="2"/>
  <c r="AH21" i="2"/>
  <c r="T24" i="2"/>
  <c r="S24" i="2"/>
  <c r="R24" i="2"/>
  <c r="R29" i="2"/>
  <c r="R28" i="2"/>
  <c r="R27" i="2"/>
  <c r="R26" i="2"/>
  <c r="R18" i="2"/>
  <c r="R19" i="2"/>
  <c r="R6" i="2"/>
  <c r="R16" i="2"/>
  <c r="R14" i="2"/>
  <c r="R13" i="2"/>
  <c r="R11" i="2"/>
  <c r="R10" i="2"/>
  <c r="R9" i="2"/>
  <c r="R7" i="2"/>
  <c r="R5" i="2"/>
  <c r="R4" i="2"/>
  <c r="AH17" i="2"/>
  <c r="AH18" i="2" s="1"/>
  <c r="AG18" i="2"/>
  <c r="AG6" i="2"/>
  <c r="AH6" i="2"/>
  <c r="AH36" i="2"/>
  <c r="AH34" i="2"/>
  <c r="O78" i="2"/>
  <c r="S78" i="2"/>
  <c r="S73" i="2"/>
  <c r="P74" i="2"/>
  <c r="O48" i="2"/>
  <c r="T74" i="2"/>
  <c r="S74" i="2"/>
  <c r="S48" i="2"/>
  <c r="T35" i="2"/>
  <c r="S35" i="2"/>
  <c r="R35" i="2"/>
  <c r="Q35" i="2"/>
  <c r="P35" i="2"/>
  <c r="U35" i="2"/>
  <c r="S34" i="2"/>
  <c r="S36" i="2"/>
  <c r="O36" i="2"/>
  <c r="S23" i="2"/>
  <c r="S22" i="2"/>
  <c r="S21" i="2"/>
  <c r="R74" i="2"/>
  <c r="S70" i="2"/>
  <c r="S69" i="2"/>
  <c r="S57" i="2"/>
  <c r="S61" i="2" s="1"/>
  <c r="S64" i="2" s="1"/>
  <c r="S44" i="2"/>
  <c r="S51" i="2" s="1"/>
  <c r="S66" i="2" s="1"/>
  <c r="S67" i="2" s="1"/>
  <c r="S81" i="2" s="1"/>
  <c r="O6" i="2"/>
  <c r="S6" i="2"/>
  <c r="P78" i="2"/>
  <c r="T78" i="2"/>
  <c r="R48" i="2"/>
  <c r="Q74" i="2"/>
  <c r="U74" i="2"/>
  <c r="T73" i="2"/>
  <c r="P48" i="2"/>
  <c r="T48" i="2"/>
  <c r="T23" i="2"/>
  <c r="T22" i="2"/>
  <c r="T21" i="2"/>
  <c r="T34" i="2"/>
  <c r="T36" i="2"/>
  <c r="P36" i="2"/>
  <c r="P6" i="2"/>
  <c r="T6" i="2"/>
  <c r="AP13" i="2" l="1"/>
  <c r="AS13" i="2" s="1"/>
  <c r="AQ13" i="2"/>
  <c r="AR13" i="2"/>
  <c r="AQ10" i="2"/>
  <c r="AS10" i="2" s="1"/>
  <c r="AR10" i="2"/>
  <c r="AP11" i="2"/>
  <c r="S71" i="2"/>
  <c r="S79" i="2" s="1"/>
  <c r="C27" i="1"/>
  <c r="D11" i="1"/>
  <c r="D10" i="1"/>
  <c r="D9" i="1"/>
  <c r="D7" i="1"/>
  <c r="D30" i="1"/>
  <c r="AT13" i="2" l="1"/>
  <c r="AT10" i="2"/>
  <c r="AQ11" i="2"/>
  <c r="AR11" i="2" s="1"/>
  <c r="Q36" i="2"/>
  <c r="U36" i="2"/>
  <c r="C25" i="1"/>
  <c r="U34" i="2"/>
  <c r="U23" i="2"/>
  <c r="U22" i="2"/>
  <c r="Q6" i="2"/>
  <c r="Q24" i="2" s="1"/>
  <c r="U6" i="2"/>
  <c r="U24" i="2" s="1"/>
  <c r="C28" i="1"/>
  <c r="AF12" i="2"/>
  <c r="AF15" i="2" s="1"/>
  <c r="AF17" i="2" s="1"/>
  <c r="AE12" i="2"/>
  <c r="AE15" i="2" s="1"/>
  <c r="AE17" i="2" s="1"/>
  <c r="AG8" i="2"/>
  <c r="AG12" i="2" s="1"/>
  <c r="AG15" i="2" s="1"/>
  <c r="AG17" i="2" s="1"/>
  <c r="AF8" i="2"/>
  <c r="AE8" i="2"/>
  <c r="Q78" i="2"/>
  <c r="U78" i="2"/>
  <c r="U73" i="2"/>
  <c r="Q48" i="2"/>
  <c r="T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T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70" i="2"/>
  <c r="C10" i="1" s="1"/>
  <c r="U69" i="2"/>
  <c r="U71" i="2" s="1"/>
  <c r="N61" i="2"/>
  <c r="N64" i="2" s="1"/>
  <c r="T57" i="2"/>
  <c r="T61" i="2" s="1"/>
  <c r="T64" i="2" s="1"/>
  <c r="R57" i="2"/>
  <c r="R61" i="2" s="1"/>
  <c r="R64" i="2" s="1"/>
  <c r="Q57" i="2"/>
  <c r="Q61" i="2" s="1"/>
  <c r="Q64" i="2" s="1"/>
  <c r="P57" i="2"/>
  <c r="P61" i="2" s="1"/>
  <c r="P64" i="2" s="1"/>
  <c r="O57" i="2"/>
  <c r="O61" i="2" s="1"/>
  <c r="O64" i="2" s="1"/>
  <c r="N57" i="2"/>
  <c r="M57" i="2"/>
  <c r="M61" i="2" s="1"/>
  <c r="M64" i="2" s="1"/>
  <c r="L57" i="2"/>
  <c r="L61" i="2" s="1"/>
  <c r="L64" i="2" s="1"/>
  <c r="K57" i="2"/>
  <c r="K61" i="2" s="1"/>
  <c r="K64" i="2" s="1"/>
  <c r="J57" i="2"/>
  <c r="J61" i="2" s="1"/>
  <c r="J64" i="2" s="1"/>
  <c r="I57" i="2"/>
  <c r="I61" i="2" s="1"/>
  <c r="I64" i="2" s="1"/>
  <c r="H57" i="2"/>
  <c r="H61" i="2" s="1"/>
  <c r="H64" i="2" s="1"/>
  <c r="G57" i="2"/>
  <c r="G61" i="2" s="1"/>
  <c r="G64" i="2" s="1"/>
  <c r="F57" i="2"/>
  <c r="F61" i="2" s="1"/>
  <c r="F64" i="2" s="1"/>
  <c r="E57" i="2"/>
  <c r="E61" i="2" s="1"/>
  <c r="E64" i="2" s="1"/>
  <c r="D57" i="2"/>
  <c r="D61" i="2" s="1"/>
  <c r="D64" i="2" s="1"/>
  <c r="C57" i="2"/>
  <c r="C61" i="2" s="1"/>
  <c r="C64" i="2" s="1"/>
  <c r="U57" i="2"/>
  <c r="U61" i="2" s="1"/>
  <c r="U64" i="2" s="1"/>
  <c r="U48" i="2"/>
  <c r="T44" i="2"/>
  <c r="T51" i="2" s="1"/>
  <c r="R44" i="2"/>
  <c r="R51" i="2" s="1"/>
  <c r="Q44" i="2"/>
  <c r="P44" i="2"/>
  <c r="P51" i="2" s="1"/>
  <c r="P66" i="2" s="1"/>
  <c r="P67" i="2" s="1"/>
  <c r="P81" i="2" s="1"/>
  <c r="O44" i="2"/>
  <c r="O51" i="2" s="1"/>
  <c r="O66" i="2" s="1"/>
  <c r="O67" i="2" s="1"/>
  <c r="O81" i="2" s="1"/>
  <c r="N44" i="2"/>
  <c r="N51" i="2" s="1"/>
  <c r="M44" i="2"/>
  <c r="M51" i="2" s="1"/>
  <c r="L44" i="2"/>
  <c r="L51" i="2" s="1"/>
  <c r="K44" i="2"/>
  <c r="K51" i="2" s="1"/>
  <c r="J44" i="2"/>
  <c r="J51" i="2" s="1"/>
  <c r="I44" i="2"/>
  <c r="I51" i="2" s="1"/>
  <c r="H44" i="2"/>
  <c r="H51" i="2" s="1"/>
  <c r="G44" i="2"/>
  <c r="G51" i="2" s="1"/>
  <c r="F44" i="2"/>
  <c r="F51" i="2" s="1"/>
  <c r="E44" i="2"/>
  <c r="E51" i="2" s="1"/>
  <c r="D44" i="2"/>
  <c r="D51" i="2" s="1"/>
  <c r="C44" i="2"/>
  <c r="C51" i="2" s="1"/>
  <c r="U44" i="2"/>
  <c r="AS11" i="2" l="1"/>
  <c r="AT11" i="2" s="1"/>
  <c r="R66" i="2"/>
  <c r="T66" i="2"/>
  <c r="T67" i="2" s="1"/>
  <c r="T81" i="2" s="1"/>
  <c r="AH8" i="2"/>
  <c r="AH12" i="2" s="1"/>
  <c r="AH15" i="2" s="1"/>
  <c r="Q51" i="2"/>
  <c r="Q66" i="2" s="1"/>
  <c r="Q67" i="2" s="1"/>
  <c r="Q81" i="2" s="1"/>
  <c r="D71" i="2"/>
  <c r="P71" i="2"/>
  <c r="P79" i="2" s="1"/>
  <c r="U51" i="2"/>
  <c r="U66" i="2" s="1"/>
  <c r="U67" i="2" s="1"/>
  <c r="H71" i="2"/>
  <c r="T71" i="2"/>
  <c r="T79" i="2" s="1"/>
  <c r="I71" i="2"/>
  <c r="M71" i="2"/>
  <c r="K71" i="2"/>
  <c r="L71" i="2"/>
  <c r="U79" i="2"/>
  <c r="Q71" i="2"/>
  <c r="Q79" i="2" s="1"/>
  <c r="G71" i="2"/>
  <c r="R71" i="2"/>
  <c r="E71" i="2"/>
  <c r="F71" i="2"/>
  <c r="C9" i="1"/>
  <c r="J71" i="2"/>
  <c r="N71" i="2"/>
  <c r="C71" i="2"/>
  <c r="O71" i="2"/>
  <c r="O79" i="2" s="1"/>
  <c r="U81" i="2" l="1"/>
  <c r="C35" i="1"/>
  <c r="U21" i="2" l="1"/>
  <c r="T8" i="2"/>
  <c r="S8" i="2"/>
  <c r="R8" i="2"/>
  <c r="R12" i="2" s="1"/>
  <c r="R15" i="2" s="1"/>
  <c r="R17" i="2" s="1"/>
  <c r="Q8" i="2"/>
  <c r="Q12" i="2" s="1"/>
  <c r="Q15" i="2" s="1"/>
  <c r="Q17" i="2" s="1"/>
  <c r="Q18" i="2" s="1"/>
  <c r="P8" i="2"/>
  <c r="O8" i="2"/>
  <c r="N8" i="2"/>
  <c r="N12" i="2" s="1"/>
  <c r="N15" i="2" s="1"/>
  <c r="N17" i="2" s="1"/>
  <c r="M8" i="2"/>
  <c r="M12" i="2" s="1"/>
  <c r="M15" i="2" s="1"/>
  <c r="M17" i="2" s="1"/>
  <c r="L8" i="2"/>
  <c r="L12" i="2" s="1"/>
  <c r="L15" i="2" s="1"/>
  <c r="L17" i="2" s="1"/>
  <c r="K8" i="2"/>
  <c r="K12" i="2" s="1"/>
  <c r="K15" i="2" s="1"/>
  <c r="K17" i="2" s="1"/>
  <c r="J8" i="2"/>
  <c r="J12" i="2" s="1"/>
  <c r="J15" i="2" s="1"/>
  <c r="J17" i="2" s="1"/>
  <c r="I8" i="2"/>
  <c r="I12" i="2" s="1"/>
  <c r="I15" i="2" s="1"/>
  <c r="I17" i="2" s="1"/>
  <c r="H8" i="2"/>
  <c r="H12" i="2" s="1"/>
  <c r="H15" i="2" s="1"/>
  <c r="H17" i="2" s="1"/>
  <c r="G8" i="2"/>
  <c r="G12" i="2" s="1"/>
  <c r="G15" i="2" s="1"/>
  <c r="G17" i="2" s="1"/>
  <c r="F8" i="2"/>
  <c r="F12" i="2" s="1"/>
  <c r="F15" i="2" s="1"/>
  <c r="F17" i="2" s="1"/>
  <c r="E8" i="2"/>
  <c r="E12" i="2" s="1"/>
  <c r="E15" i="2" s="1"/>
  <c r="E17" i="2" s="1"/>
  <c r="D8" i="2"/>
  <c r="D12" i="2" s="1"/>
  <c r="D15" i="2" s="1"/>
  <c r="D17" i="2" s="1"/>
  <c r="C8" i="2"/>
  <c r="C12" i="2" s="1"/>
  <c r="C15" i="2" s="1"/>
  <c r="C17" i="2" s="1"/>
  <c r="U8" i="2"/>
  <c r="U12" i="2" s="1"/>
  <c r="O12" i="2" l="1"/>
  <c r="O26" i="2"/>
  <c r="S12" i="2"/>
  <c r="S26" i="2"/>
  <c r="P12" i="2"/>
  <c r="P26" i="2"/>
  <c r="T12" i="2"/>
  <c r="T26" i="2"/>
  <c r="Q27" i="2"/>
  <c r="Q26" i="2"/>
  <c r="Q29" i="2"/>
  <c r="U15" i="2"/>
  <c r="U27" i="2"/>
  <c r="Q28" i="2"/>
  <c r="U26" i="2"/>
  <c r="P15" i="2" l="1"/>
  <c r="P27" i="2"/>
  <c r="T15" i="2"/>
  <c r="T27" i="2"/>
  <c r="S15" i="2"/>
  <c r="S27" i="2"/>
  <c r="O15" i="2"/>
  <c r="O27" i="2"/>
  <c r="U17" i="2"/>
  <c r="U29" i="2"/>
  <c r="C8" i="1"/>
  <c r="C11" i="1"/>
  <c r="O17" i="2" l="1"/>
  <c r="O29" i="2"/>
  <c r="T17" i="2"/>
  <c r="T29" i="2"/>
  <c r="S17" i="2"/>
  <c r="S29" i="2"/>
  <c r="P17" i="2"/>
  <c r="P29" i="2"/>
  <c r="U18" i="2"/>
  <c r="U28" i="2"/>
  <c r="C12" i="1"/>
  <c r="C39" i="1" l="1"/>
  <c r="C37" i="1"/>
  <c r="P18" i="2"/>
  <c r="P28" i="2"/>
  <c r="S18" i="2"/>
  <c r="S28" i="2"/>
  <c r="T28" i="2"/>
  <c r="T18" i="2"/>
  <c r="O28" i="2"/>
  <c r="O18" i="2"/>
  <c r="V6" i="2"/>
  <c r="AI6" i="2" s="1"/>
  <c r="AI21" i="2" s="1"/>
  <c r="V8" i="2" l="1"/>
  <c r="V7" i="2"/>
  <c r="AI7" i="2" s="1"/>
  <c r="AI8" i="2" s="1"/>
  <c r="V9" i="2"/>
  <c r="AI9" i="2" s="1"/>
  <c r="V21" i="2"/>
  <c r="V12" i="2" l="1"/>
  <c r="V15" i="2" s="1"/>
  <c r="AI26" i="2"/>
  <c r="AI12" i="2"/>
  <c r="V27" i="2" l="1"/>
  <c r="V16" i="2"/>
  <c r="AI16" i="2" s="1"/>
  <c r="AI27" i="2"/>
  <c r="AI15" i="2"/>
  <c r="AI17" i="2" l="1"/>
  <c r="AI28" i="2" s="1"/>
  <c r="V17" i="2"/>
  <c r="V28" i="2" s="1"/>
  <c r="AI29" i="2"/>
  <c r="V18" i="2" l="1"/>
  <c r="AI18" i="2"/>
</calcChain>
</file>

<file path=xl/sharedStrings.xml><?xml version="1.0" encoding="utf-8"?>
<sst xmlns="http://schemas.openxmlformats.org/spreadsheetml/2006/main" count="162" uniqueCount="136">
  <si>
    <t>$FL</t>
  </si>
  <si>
    <t>Footlocker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</si>
  <si>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</si>
  <si>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</si>
  <si>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</si>
  <si>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</si>
  <si>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</si>
  <si>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</si>
  <si>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</si>
  <si>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</si>
  <si>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</si>
  <si>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</si>
  <si>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</si>
  <si>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</si>
  <si>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</si>
  <si>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</si>
  <si>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</si>
  <si>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Stores</t>
  </si>
  <si>
    <t>Inventory</t>
  </si>
  <si>
    <t>Update</t>
  </si>
  <si>
    <t>IR</t>
  </si>
  <si>
    <t>Key Metrics/Ratios</t>
  </si>
  <si>
    <t>P/B</t>
  </si>
  <si>
    <t>P/S</t>
  </si>
  <si>
    <t>EV/S</t>
  </si>
  <si>
    <t>P/E</t>
  </si>
  <si>
    <t>EV/E</t>
  </si>
  <si>
    <t>ROCE</t>
  </si>
  <si>
    <t>Key Events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</si>
  <si>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</si>
  <si>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</si>
  <si>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</si>
  <si>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</si>
  <si>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</si>
  <si>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</si>
  <si>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</si>
  <si>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</si>
  <si>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</si>
  <si>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</si>
  <si>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</si>
  <si>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</si>
  <si>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</si>
  <si>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</si>
  <si>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</si>
  <si>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</si>
  <si>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</si>
  <si>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</si>
  <si>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Q222</t>
  </si>
  <si>
    <t>Q422</t>
  </si>
  <si>
    <t>Q123</t>
  </si>
  <si>
    <t>Q423</t>
  </si>
  <si>
    <t>Q223</t>
  </si>
  <si>
    <t>Q323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</si>
  <si>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</si>
  <si>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</si>
  <si>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</si>
  <si>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</si>
  <si>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</si>
  <si>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</si>
  <si>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</si>
  <si>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</si>
  <si>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</si>
  <si>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</si>
  <si>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</si>
  <si>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</si>
  <si>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</si>
  <si>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</si>
  <si>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</si>
  <si>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</si>
  <si>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NYC, NY</t>
  </si>
  <si>
    <t>Chairman</t>
  </si>
  <si>
    <t>Richard Jonhson</t>
  </si>
  <si>
    <t>Mary Dillon</t>
  </si>
  <si>
    <t>Andrew Page</t>
  </si>
  <si>
    <t>VP</t>
  </si>
  <si>
    <t>Elliott Rodgers</t>
  </si>
  <si>
    <t>Revenue</t>
  </si>
  <si>
    <t>COGS</t>
  </si>
  <si>
    <t>Gross Profit</t>
  </si>
  <si>
    <t>SG&amp;A</t>
  </si>
  <si>
    <t>D&amp;A</t>
  </si>
  <si>
    <t>Impairment &amp; Other</t>
  </si>
  <si>
    <t>Operating Income</t>
  </si>
  <si>
    <t>Interest Expense, Net</t>
  </si>
  <si>
    <t>Other Income,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</si>
  <si>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</si>
  <si>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</si>
  <si>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</si>
  <si>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</si>
  <si>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</si>
  <si>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</si>
  <si>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</si>
  <si>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</si>
  <si>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</si>
  <si>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</si>
  <si>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</si>
  <si>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Inventories</t>
  </si>
  <si>
    <t>OCA</t>
  </si>
  <si>
    <t>TCA</t>
  </si>
  <si>
    <t>PP&amp;E</t>
  </si>
  <si>
    <t>Operating Lease ROU</t>
  </si>
  <si>
    <t>Deferred Taxes</t>
  </si>
  <si>
    <t>Goodwill+Intangibles</t>
  </si>
  <si>
    <t>Minority Investments</t>
  </si>
  <si>
    <t>Other Assets</t>
  </si>
  <si>
    <t>Assets</t>
  </si>
  <si>
    <t>A/P</t>
  </si>
  <si>
    <t>Accrued &amp; OL</t>
  </si>
  <si>
    <t>Current Portion of Debt</t>
  </si>
  <si>
    <t>Current Portion of Lease</t>
  </si>
  <si>
    <t>TCL</t>
  </si>
  <si>
    <t>Long-Term Debt</t>
  </si>
  <si>
    <t>Long-Term Lease</t>
  </si>
  <si>
    <t>Other Liabilities</t>
  </si>
  <si>
    <t>Liabilities</t>
  </si>
  <si>
    <t>S/E</t>
  </si>
  <si>
    <t>S/E+L</t>
  </si>
  <si>
    <t>Book Value</t>
  </si>
  <si>
    <t>Book Value per Share</t>
  </si>
  <si>
    <t>Inventory Y/Y</t>
  </si>
  <si>
    <t>Inventory/Revneue</t>
  </si>
  <si>
    <t>Share Price</t>
  </si>
  <si>
    <t>Inventory Q/Q</t>
  </si>
  <si>
    <t>FY33</t>
  </si>
  <si>
    <t>Direct-to-Customers</t>
  </si>
  <si>
    <t>Stores Revenue Y/Y</t>
  </si>
  <si>
    <t>Direct-to-Customers Y/Y</t>
  </si>
  <si>
    <t>Non-Finance Metrics</t>
  </si>
  <si>
    <t>Store Count</t>
  </si>
  <si>
    <t>Store Count Y/Y</t>
  </si>
  <si>
    <t>Revenue per Store</t>
  </si>
  <si>
    <t>Store Count Q/Q</t>
  </si>
  <si>
    <t>-</t>
  </si>
  <si>
    <t>(Projected)</t>
  </si>
  <si>
    <t>Model NI</t>
  </si>
  <si>
    <t>FY17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</si>
</sst>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65" fontId="1" fillId="0" borderId="0" xfId="0" applyNumberFormat="1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166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3" fontId="8" fillId="0" borderId="0" xfId="0" applyNumberFormat="1" applyFont="1"/>
    <xf numFmtId="2" fontId="1" fillId="0" borderId="0" xfId="0" applyNumberFormat="1" applyFont="1"/>
    <xf numFmtId="0" fontId="8" fillId="0" borderId="0" xfId="0" applyFont="1" applyAlignment="1">
      <alignment horizontal="left" indent="1"/>
    </xf>
    <xf numFmtId="9" fontId="8" fillId="0" borderId="0" xfId="0" applyNumberFormat="1" applyFont="1"/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4" fontId="9" fillId="0" borderId="0" xfId="0" applyNumberFormat="1" applyFont="1" applyAlignment="1">
      <alignment horizontal="left" indent="1"/>
    </xf>
    <xf numFmtId="4" fontId="10" fillId="0" borderId="0" xfId="0" applyNumberFormat="1" applyFont="1"/>
    <xf numFmtId="17" fontId="6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3" fontId="11" fillId="0" borderId="0" xfId="0" applyNumberFormat="1" applyFont="1" applyAlignment="1">
      <alignment horizontal="left" indent="1"/>
    </xf>
    <xf numFmtId="3" fontId="11" fillId="0" borderId="0" xfId="0" applyNumberFormat="1" applyFont="1"/>
    <xf numFmtId="3" fontId="9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left" indent="1"/>
    </xf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8" fillId="5" borderId="0" xfId="0" applyFont="1" applyFill="1"/>
    <xf numFmtId="0" fontId="12" fillId="5" borderId="0" xfId="0" applyFont="1" applyFill="1"/>
    <xf numFmtId="9" fontId="8" fillId="5" borderId="0" xfId="0" applyNumberFormat="1" applyFont="1" applyFill="1"/>
    <xf numFmtId="3" fontId="8" fillId="5" borderId="0" xfId="0" applyNumberFormat="1" applyFont="1" applyFill="1"/>
    <xf numFmtId="3" fontId="11" fillId="5" borderId="0" xfId="0" applyNumberFormat="1" applyFont="1" applyFill="1"/>
    <xf numFmtId="3" fontId="9" fillId="5" borderId="0" xfId="0" applyNumberFormat="1" applyFont="1" applyFill="1"/>
    <xf numFmtId="4" fontId="9" fillId="5" borderId="0" xfId="0" applyNumberFormat="1" applyFont="1" applyFill="1"/>
    <xf numFmtId="166" fontId="8" fillId="5" borderId="0" xfId="0" applyNumberFormat="1" applyFont="1" applyFill="1"/>
    <xf numFmtId="3" fontId="12" fillId="5" borderId="0" xfId="0" applyNumberFormat="1" applyFont="1" applyFill="1"/>
    <xf numFmtId="9" fontId="12" fillId="5" borderId="0" xfId="0" applyNumberFormat="1" applyFont="1" applyFill="1"/>
    <xf numFmtId="4" fontId="8" fillId="5" borderId="0" xfId="0" applyNumberFormat="1" applyFont="1" applyFill="1"/>
    <xf numFmtId="2" fontId="8" fillId="5" borderId="0" xfId="0" applyNumberFormat="1" applyFont="1" applyFill="1"/>
    <xf numFmtId="1" fontId="1" fillId="0" borderId="0" xfId="0" applyNumberFormat="1" applyFont="1"/>
    <xf numFmtId="164" fontId="8" fillId="5" borderId="0" xfId="0" applyNumberFormat="1" applyFont="1" applyFill="1"/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12880</xdr:colOff>
      <xdr:row>0</xdr:row>
      <xdr:rowOff>57151</xdr:rowOff>
    </xdr:from>
    <xdr:to>
      <xdr:col>4</xdr:col>
      <xdr:colOff>202497</xdr:colOff>
      <xdr:row>3</xdr:row>
      <xdr:rowOff>57150</xdr:rowOff>
    </xdr:to>
    <xdr:pic>
      <xdr:nvPicPr>
        <xdr:cNvPr id="2" name="Picture 1" descr="Foot Locker logo.svg">
          <a:extLst>
            <a:ext uri="{FF2B5EF4-FFF2-40B4-BE49-F238E27FC236}">
              <a16:creationId xmlns:a16="http://schemas.microsoft.com/office/drawing/2014/main" id="{B16EC784-55F0-4265-98AA-96AA3CB86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680" y="57151"/>
          <a:ext cx="799217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19050</xdr:rowOff>
    </xdr:from>
    <xdr:to>
      <xdr:col>21</xdr:col>
      <xdr:colOff>9525</xdr:colOff>
      <xdr:row>126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BE4C9D-B8EF-4B64-915D-A5B7213BBE1F}"/>
            </a:ext>
          </a:extLst>
        </xdr:cNvPr>
        <xdr:cNvCxnSpPr/>
      </xdr:nvCxnSpPr>
      <xdr:spPr>
        <a:xfrm>
          <a:off x="13363575" y="19050"/>
          <a:ext cx="0" cy="20250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129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F210C5-2FF0-4086-BA4C-4A44F4A3D803}"/>
            </a:ext>
          </a:extLst>
        </xdr:cNvPr>
        <xdr:cNvCxnSpPr/>
      </xdr:nvCxnSpPr>
      <xdr:spPr>
        <a:xfrm>
          <a:off x="21297900" y="0"/>
          <a:ext cx="0" cy="20964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footlocker-inc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footlocker-inc.com/static-files/ea57c3b6-5d0b-4144-ae29-feb4dc759c1e" TargetMode="External"/><Relationship Id="rId3" Type="http://schemas.openxmlformats.org/officeDocument/2006/relationships/hyperlink" Target="https://investors.footlocker-inc.com/static-files/417064d3-72eb-4151-94bd-a2c1351f3e03" TargetMode="External"/><Relationship Id="rId7" Type="http://schemas.openxmlformats.org/officeDocument/2006/relationships/hyperlink" Target="https://investors.footlocker-inc.com/static-files/20b0b8fa-5ecc-4e64-8791-1918c93282bc" TargetMode="External"/><Relationship Id="rId2" Type="http://schemas.openxmlformats.org/officeDocument/2006/relationships/hyperlink" Target="https://investors.footlocker-inc.com/static-files/6ec06e18-223b-4360-8e40-8245a4ad1388" TargetMode="External"/><Relationship Id="rId1" Type="http://schemas.openxmlformats.org/officeDocument/2006/relationships/hyperlink" Target="https://investors.footlocker-inc.com/static-files/0ee181a2-4e8e-49af-ad3d-b4fcd03d9fe1" TargetMode="External"/><Relationship Id="rId6" Type="http://schemas.openxmlformats.org/officeDocument/2006/relationships/hyperlink" Target="https://investors.footlocker-inc.com/static-files/1cc98e8a-5bfe-44e5-a34a-2b69b0296f07" TargetMode="External"/><Relationship Id="rId5" Type="http://schemas.openxmlformats.org/officeDocument/2006/relationships/hyperlink" Target="https://investors.footlocker-inc.com/static-files/35137d5a-ee6d-4f19-85d1-a4c35d1fdf76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investors.footlocker-inc.com/static-files/35137d5a-ee6d-4f19-85d1-a4c35d1fdf76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917F-DFCA-4AA6-ACFC-026B1E81207F}">
  <dimension ref="A2:Q41"/>
  <sheetViews>
    <sheetView workbookViewId="0">
      <selection activeCell="O15" sqref="O15"/>
    </sheetView>
  </sheetViews>
  <sheetFormatPr defaultRowHeight="12.75" x14ac:dyDescent="0.2"/>
  <cols>
    <col min="1" max="16384" width="9.140625" style="1"/>
  </cols>
  <sheetData>
    <row r="2" spans="2:17" x14ac:dyDescent="0.2">
      <c r="B2" s="2" t="s">
        <v>0</v>
      </c>
    </row>
    <row r="3" spans="2:17" x14ac:dyDescent="0.2">
      <c r="B3" s="2" t="s">
        <v>1</v>
      </c>
    </row>
    <row r="5" spans="2:17" x14ac:dyDescent="0.2">
      <c r="B5" s="74" t="s">
        <v>2</v>
      </c>
      <c r="C5" s="75"/>
      <c r="D5" s="76"/>
      <c r="G5" s="74" t="s">
        <v>28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2:17" x14ac:dyDescent="0.2">
      <c r="B6" s="3" t="s">
        <v>3</v>
      </c>
      <c r="C6" s="4">
        <v>39.19</v>
      </c>
      <c r="D6" s="17"/>
      <c r="G6" s="15"/>
      <c r="H6" s="6"/>
      <c r="I6" s="6"/>
      <c r="J6" s="6"/>
      <c r="K6" s="6"/>
      <c r="L6" s="6"/>
      <c r="M6" s="6"/>
      <c r="N6" s="6"/>
      <c r="O6" s="6"/>
      <c r="P6" s="6"/>
      <c r="Q6" s="7"/>
    </row>
    <row r="7" spans="2:17" x14ac:dyDescent="0.2">
      <c r="B7" s="3" t="s">
        <v>4</v>
      </c>
      <c r="C7" s="24">
        <v>93.320426999999995</v>
      </c>
      <c r="D7" s="17" t="str">
        <f>$C$30</f>
        <v>Q322</v>
      </c>
      <c r="G7" s="15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x14ac:dyDescent="0.2">
      <c r="B8" s="3" t="s">
        <v>5</v>
      </c>
      <c r="C8" s="19">
        <f>C6*C7</f>
        <v>3657.2275341299996</v>
      </c>
      <c r="D8" s="17"/>
      <c r="G8" s="15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x14ac:dyDescent="0.2">
      <c r="B9" s="3" t="s">
        <v>6</v>
      </c>
      <c r="C9" s="19">
        <f>'Financial Model'!U69</f>
        <v>351</v>
      </c>
      <c r="D9" s="17" t="str">
        <f t="shared" ref="D9:D11" si="0">$C$30</f>
        <v>Q322</v>
      </c>
      <c r="G9" s="15"/>
      <c r="H9" s="6"/>
      <c r="I9" s="6"/>
      <c r="J9" s="6"/>
      <c r="K9" s="6"/>
      <c r="L9" s="6"/>
      <c r="M9" s="6"/>
      <c r="N9" s="6"/>
      <c r="O9" s="6"/>
      <c r="P9" s="6"/>
      <c r="Q9" s="7"/>
    </row>
    <row r="10" spans="2:17" x14ac:dyDescent="0.2">
      <c r="B10" s="3" t="s">
        <v>7</v>
      </c>
      <c r="C10" s="19">
        <f>'Financial Model'!U70</f>
        <v>454</v>
      </c>
      <c r="D10" s="17" t="str">
        <f t="shared" si="0"/>
        <v>Q322</v>
      </c>
      <c r="G10" s="15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2:17" x14ac:dyDescent="0.2">
      <c r="B11" s="3" t="s">
        <v>8</v>
      </c>
      <c r="C11" s="19">
        <f>C9-C10</f>
        <v>-103</v>
      </c>
      <c r="D11" s="17" t="str">
        <f t="shared" si="0"/>
        <v>Q322</v>
      </c>
      <c r="G11" s="15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2:17" x14ac:dyDescent="0.2">
      <c r="B12" s="5" t="s">
        <v>9</v>
      </c>
      <c r="C12" s="20">
        <f>C8-C11</f>
        <v>3760.2275341299996</v>
      </c>
      <c r="D12" s="18"/>
      <c r="G12" s="15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2:17" x14ac:dyDescent="0.2">
      <c r="G13" s="15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2:17" x14ac:dyDescent="0.2">
      <c r="G14" s="15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2:17" x14ac:dyDescent="0.2">
      <c r="B15" s="74" t="s">
        <v>10</v>
      </c>
      <c r="C15" s="75"/>
      <c r="D15" s="76"/>
      <c r="G15" s="15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2:17" x14ac:dyDescent="0.2">
      <c r="B16" s="10" t="s">
        <v>11</v>
      </c>
      <c r="C16" s="70" t="s">
        <v>72</v>
      </c>
      <c r="D16" s="71"/>
      <c r="G16" s="15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x14ac:dyDescent="0.2">
      <c r="A17" s="21" t="s">
        <v>74</v>
      </c>
      <c r="B17" s="10" t="s">
        <v>12</v>
      </c>
      <c r="C17" s="70" t="s">
        <v>73</v>
      </c>
      <c r="D17" s="71"/>
      <c r="G17" s="15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1:17" x14ac:dyDescent="0.2">
      <c r="A18" s="21" t="s">
        <v>74</v>
      </c>
      <c r="B18" s="10" t="s">
        <v>13</v>
      </c>
      <c r="C18" s="70" t="s">
        <v>75</v>
      </c>
      <c r="D18" s="71"/>
      <c r="G18" s="15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x14ac:dyDescent="0.2">
      <c r="B19" s="11" t="s">
        <v>70</v>
      </c>
      <c r="C19" s="72" t="s">
        <v>71</v>
      </c>
      <c r="D19" s="73"/>
      <c r="G19" s="15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ht="15" x14ac:dyDescent="0.25">
      <c r="G20" s="15"/>
      <c r="H20" s="6"/>
      <c r="I20" s="6"/>
      <c r="J20" s="6"/>
      <c r="K20" s="6"/>
      <c r="L20" s="6"/>
      <c r="M20" s="6"/>
      <c r="N20" s="6"/>
      <c r="O20"/>
      <c r="P20" s="6"/>
      <c r="Q20" s="7"/>
    </row>
    <row r="21" spans="1:17" x14ac:dyDescent="0.2">
      <c r="G21" s="15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1:17" x14ac:dyDescent="0.2">
      <c r="B22" s="74" t="s">
        <v>14</v>
      </c>
      <c r="C22" s="75"/>
      <c r="D22" s="76"/>
      <c r="G22" s="15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x14ac:dyDescent="0.2">
      <c r="B23" s="13" t="s">
        <v>15</v>
      </c>
      <c r="C23" s="70" t="s">
        <v>69</v>
      </c>
      <c r="D23" s="71"/>
      <c r="G23" s="15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x14ac:dyDescent="0.2">
      <c r="B24" s="13" t="s">
        <v>16</v>
      </c>
      <c r="C24" s="70">
        <v>1879</v>
      </c>
      <c r="D24" s="71"/>
      <c r="G24" s="15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x14ac:dyDescent="0.2">
      <c r="B25" s="13" t="s">
        <v>17</v>
      </c>
      <c r="C25" s="79">
        <f>'Financial Model'!U33</f>
        <v>2794</v>
      </c>
      <c r="D25" s="71"/>
      <c r="G25" s="15"/>
      <c r="H25" s="6"/>
      <c r="I25" s="6"/>
      <c r="J25" s="6"/>
      <c r="K25" s="6"/>
      <c r="L25" s="6"/>
      <c r="M25" s="6"/>
      <c r="N25" s="6"/>
      <c r="O25" s="6"/>
      <c r="P25" s="6"/>
      <c r="Q25" s="7"/>
    </row>
    <row r="26" spans="1:17" x14ac:dyDescent="0.2">
      <c r="B26" s="13"/>
      <c r="C26" s="70"/>
      <c r="D26" s="71"/>
      <c r="G26" s="15"/>
      <c r="H26" s="6"/>
      <c r="I26" s="6"/>
      <c r="J26" s="6"/>
      <c r="K26" s="6"/>
      <c r="L26" s="6"/>
      <c r="M26" s="6"/>
      <c r="N26" s="6"/>
      <c r="O26" s="6"/>
      <c r="P26" s="6"/>
      <c r="Q26" s="7"/>
    </row>
    <row r="27" spans="1:17" x14ac:dyDescent="0.2">
      <c r="B27" s="13" t="s">
        <v>17</v>
      </c>
      <c r="C27" s="79">
        <f>'Financial Model'!U33</f>
        <v>2794</v>
      </c>
      <c r="D27" s="71"/>
      <c r="G27" s="15"/>
      <c r="H27" s="6"/>
      <c r="I27" s="6"/>
      <c r="J27" s="6"/>
      <c r="K27" s="6"/>
      <c r="L27" s="6"/>
      <c r="M27" s="6"/>
      <c r="N27" s="6"/>
      <c r="O27" s="6"/>
      <c r="P27" s="6"/>
      <c r="Q27" s="7"/>
    </row>
    <row r="28" spans="1:17" x14ac:dyDescent="0.2">
      <c r="B28" s="13" t="s">
        <v>18</v>
      </c>
      <c r="C28" s="79">
        <f>'Financial Model'!U42</f>
        <v>1685</v>
      </c>
      <c r="D28" s="71"/>
      <c r="G28" s="15"/>
      <c r="H28" s="6"/>
      <c r="I28" s="6"/>
      <c r="J28" s="6"/>
      <c r="K28" s="6"/>
      <c r="L28" s="6"/>
      <c r="M28" s="6"/>
      <c r="N28" s="6"/>
      <c r="O28" s="6"/>
      <c r="P28" s="6"/>
      <c r="Q28" s="7"/>
    </row>
    <row r="29" spans="1:17" x14ac:dyDescent="0.2">
      <c r="B29" s="13"/>
      <c r="C29" s="70"/>
      <c r="D29" s="71"/>
      <c r="G29" s="15"/>
      <c r="H29" s="6"/>
      <c r="I29" s="6"/>
      <c r="J29" s="6"/>
      <c r="K29" s="6"/>
      <c r="L29" s="6"/>
      <c r="M29" s="6"/>
      <c r="N29" s="6"/>
      <c r="O29" s="6"/>
      <c r="P29" s="6"/>
      <c r="Q29" s="7"/>
    </row>
    <row r="30" spans="1:17" x14ac:dyDescent="0.2">
      <c r="B30" s="13" t="s">
        <v>19</v>
      </c>
      <c r="C30" s="12" t="s">
        <v>46</v>
      </c>
      <c r="D30" s="46">
        <f>'Financial Model'!U3</f>
        <v>43405</v>
      </c>
      <c r="G30" s="15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1:17" x14ac:dyDescent="0.2">
      <c r="B31" s="14" t="s">
        <v>20</v>
      </c>
      <c r="C31" s="77" t="s">
        <v>68</v>
      </c>
      <c r="D31" s="78"/>
      <c r="G31" s="16"/>
      <c r="H31" s="8"/>
      <c r="I31" s="8"/>
      <c r="J31" s="8"/>
      <c r="K31" s="8"/>
      <c r="L31" s="8"/>
      <c r="M31" s="8"/>
      <c r="N31" s="8"/>
      <c r="O31" s="8"/>
      <c r="P31" s="8"/>
      <c r="Q31" s="9"/>
    </row>
    <row r="34" spans="2:4" x14ac:dyDescent="0.2">
      <c r="B34" s="74" t="s">
        <v>21</v>
      </c>
      <c r="C34" s="75"/>
      <c r="D34" s="76"/>
    </row>
    <row r="35" spans="2:4" x14ac:dyDescent="0.2">
      <c r="B35" s="13" t="s">
        <v>22</v>
      </c>
      <c r="C35" s="68">
        <f>C6/'Financial Model'!U67</f>
        <v>1.1231500460263886</v>
      </c>
      <c r="D35" s="69"/>
    </row>
    <row r="36" spans="2:4" x14ac:dyDescent="0.2">
      <c r="B36" s="13" t="s">
        <v>23</v>
      </c>
      <c r="C36" s="68">
        <f>C8/SUM('Financial Model'!R6:U6)</f>
        <v>0.41777787687114459</v>
      </c>
      <c r="D36" s="69"/>
    </row>
    <row r="37" spans="2:4" x14ac:dyDescent="0.2">
      <c r="B37" s="13" t="s">
        <v>24</v>
      </c>
      <c r="C37" s="68">
        <f>C12/SUM('Financial Model'!R6:U6)</f>
        <v>0.42954392667694763</v>
      </c>
      <c r="D37" s="69"/>
    </row>
    <row r="38" spans="2:4" x14ac:dyDescent="0.2">
      <c r="B38" s="13" t="s">
        <v>25</v>
      </c>
      <c r="C38" s="68">
        <f>C6/SUM('Financial Model'!R18:U18)</f>
        <v>8.9160063090667094</v>
      </c>
      <c r="D38" s="69"/>
    </row>
    <row r="39" spans="2:4" x14ac:dyDescent="0.2">
      <c r="B39" s="13" t="s">
        <v>26</v>
      </c>
      <c r="C39" s="68">
        <f>C12/SUM('Financial Model'!R17:U17)</f>
        <v>8.8684611654009426</v>
      </c>
      <c r="D39" s="69"/>
    </row>
    <row r="40" spans="2:4" x14ac:dyDescent="0.2">
      <c r="B40" s="13" t="s">
        <v>27</v>
      </c>
      <c r="C40" s="70"/>
      <c r="D40" s="71"/>
    </row>
    <row r="41" spans="2:4" x14ac:dyDescent="0.2">
      <c r="B41" s="14"/>
      <c r="C41" s="72"/>
      <c r="D41" s="73"/>
    </row>
  </sheetData>
  <mergeCells count="24">
    <mergeCell ref="C36:D36"/>
    <mergeCell ref="C23:D23"/>
    <mergeCell ref="C24:D24"/>
    <mergeCell ref="C25:D25"/>
    <mergeCell ref="C26:D26"/>
    <mergeCell ref="C27:D27"/>
    <mergeCell ref="C28:D28"/>
    <mergeCell ref="G5:Q5"/>
    <mergeCell ref="C29:D29"/>
    <mergeCell ref="C31:D31"/>
    <mergeCell ref="B34:D34"/>
    <mergeCell ref="C35:D35"/>
    <mergeCell ref="B5:D5"/>
    <mergeCell ref="B15:D15"/>
    <mergeCell ref="B22:D22"/>
    <mergeCell ref="C16:D16"/>
    <mergeCell ref="C17:D17"/>
    <mergeCell ref="C18:D18"/>
    <mergeCell ref="C19:D19"/>
    <mergeCell ref="C37:D37"/>
    <mergeCell ref="C38:D38"/>
    <mergeCell ref="C39:D39"/>
    <mergeCell ref="C40:D40"/>
    <mergeCell ref="C41:D41"/>
  </mergeCells>
  <hyperlinks>
    <hyperlink ref="C31:D31" r:id="rId1" display="Link" xr:uid="{895B3114-FB4F-46F5-A7E6-2022E34FF53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1236-EF31-448C-82ED-0941EE456E01}">
  <dimension ref="A1:AT8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35" sqref="N35:P35"/>
    </sheetView>
  </sheetViews>
  <sheetFormatPr defaultRowHeight="12.75" x14ac:dyDescent="0.2"/>
  <cols>
    <col min="1" max="1" width="4.28515625" style="1" customWidth="1"/>
    <col min="2" max="2" width="22.28515625" style="1" bestFit="1" customWidth="1"/>
    <col min="3" max="21" width="9.140625" style="1"/>
    <col min="22" max="22" width="9.140625" style="54"/>
    <col min="23" max="34" width="9.140625" style="1"/>
    <col min="35" max="35" width="9.140625" style="54"/>
    <col min="36" max="16384" width="9.140625" style="1"/>
  </cols>
  <sheetData>
    <row r="1" spans="1:46" s="22" customFormat="1" x14ac:dyDescent="0.2">
      <c r="C1" s="22" t="s">
        <v>29</v>
      </c>
      <c r="D1" s="22" t="s">
        <v>30</v>
      </c>
      <c r="E1" s="22" t="s">
        <v>31</v>
      </c>
      <c r="F1" s="22" t="s">
        <v>32</v>
      </c>
      <c r="G1" s="22" t="s">
        <v>33</v>
      </c>
      <c r="H1" s="22" t="s">
        <v>34</v>
      </c>
      <c r="I1" s="22" t="s">
        <v>35</v>
      </c>
      <c r="J1" s="22" t="s">
        <v>36</v>
      </c>
      <c r="K1" s="23" t="s">
        <v>37</v>
      </c>
      <c r="L1" s="23" t="s">
        <v>38</v>
      </c>
      <c r="M1" s="23" t="s">
        <v>39</v>
      </c>
      <c r="N1" s="22" t="s">
        <v>40</v>
      </c>
      <c r="O1" s="22" t="s">
        <v>41</v>
      </c>
      <c r="P1" s="22" t="s">
        <v>42</v>
      </c>
      <c r="Q1" s="22" t="s">
        <v>43</v>
      </c>
      <c r="R1" s="23" t="s">
        <v>44</v>
      </c>
      <c r="S1" s="23" t="s">
        <v>45</v>
      </c>
      <c r="T1" s="23" t="s">
        <v>47</v>
      </c>
      <c r="U1" s="23" t="s">
        <v>46</v>
      </c>
      <c r="V1" s="52" t="s">
        <v>48</v>
      </c>
      <c r="W1" s="22" t="s">
        <v>49</v>
      </c>
      <c r="X1" s="22" t="s">
        <v>51</v>
      </c>
      <c r="Y1" s="22" t="s">
        <v>51</v>
      </c>
      <c r="Z1" s="22" t="s">
        <v>52</v>
      </c>
      <c r="AA1" s="22" t="s">
        <v>50</v>
      </c>
      <c r="AD1" s="22" t="s">
        <v>135</v>
      </c>
      <c r="AE1" s="22" t="s">
        <v>53</v>
      </c>
      <c r="AF1" s="22" t="s">
        <v>54</v>
      </c>
      <c r="AG1" s="22" t="s">
        <v>55</v>
      </c>
      <c r="AH1" s="23" t="s">
        <v>56</v>
      </c>
      <c r="AI1" s="52" t="s">
        <v>57</v>
      </c>
      <c r="AJ1" s="22" t="s">
        <v>58</v>
      </c>
      <c r="AK1" s="22" t="s">
        <v>59</v>
      </c>
      <c r="AL1" s="22" t="s">
        <v>60</v>
      </c>
      <c r="AM1" s="22" t="s">
        <v>61</v>
      </c>
      <c r="AN1" s="22" t="s">
        <v>62</v>
      </c>
      <c r="AO1" s="22" t="s">
        <v>63</v>
      </c>
      <c r="AP1" s="22" t="s">
        <v>64</v>
      </c>
      <c r="AQ1" s="22" t="s">
        <v>65</v>
      </c>
      <c r="AR1" s="22" t="s">
        <v>66</v>
      </c>
      <c r="AS1" s="22" t="s">
        <v>67</v>
      </c>
      <c r="AT1" s="22" t="s">
        <v>123</v>
      </c>
    </row>
    <row r="2" spans="1:46" s="26" customFormat="1" x14ac:dyDescent="0.2">
      <c r="A2" s="25"/>
      <c r="G2" s="27">
        <v>43589</v>
      </c>
      <c r="H2" s="27">
        <v>43680</v>
      </c>
      <c r="I2" s="27">
        <v>43771</v>
      </c>
      <c r="K2" s="27">
        <v>43953</v>
      </c>
      <c r="L2" s="27">
        <v>44044</v>
      </c>
      <c r="M2" s="27">
        <v>44135</v>
      </c>
      <c r="N2" s="27">
        <f>AG2</f>
        <v>44226</v>
      </c>
      <c r="O2" s="27">
        <v>44317</v>
      </c>
      <c r="P2" s="27">
        <v>44408</v>
      </c>
      <c r="Q2" s="27">
        <v>44499</v>
      </c>
      <c r="R2" s="27">
        <v>44590</v>
      </c>
      <c r="S2" s="27">
        <v>44681</v>
      </c>
      <c r="T2" s="27">
        <v>44772</v>
      </c>
      <c r="U2" s="27">
        <v>44863</v>
      </c>
      <c r="V2" s="53" t="s">
        <v>133</v>
      </c>
      <c r="AG2" s="27">
        <v>44226</v>
      </c>
      <c r="AH2" s="27">
        <v>44590</v>
      </c>
      <c r="AI2" s="53" t="s">
        <v>133</v>
      </c>
    </row>
    <row r="3" spans="1:46" s="26" customFormat="1" x14ac:dyDescent="0.2">
      <c r="A3" s="25"/>
      <c r="K3" s="45">
        <v>44682</v>
      </c>
      <c r="L3" s="45">
        <v>44409</v>
      </c>
      <c r="M3" s="45">
        <v>44136</v>
      </c>
      <c r="R3" s="45">
        <v>45689</v>
      </c>
      <c r="S3" s="45">
        <v>43952</v>
      </c>
      <c r="T3" s="45">
        <v>43678</v>
      </c>
      <c r="U3" s="45">
        <v>43405</v>
      </c>
      <c r="V3" s="53"/>
      <c r="AH3" s="45">
        <v>45689</v>
      </c>
      <c r="AI3" s="53"/>
    </row>
    <row r="4" spans="1:46" s="32" customFormat="1" x14ac:dyDescent="0.2">
      <c r="B4" s="39" t="s">
        <v>17</v>
      </c>
      <c r="C4" s="37"/>
      <c r="D4" s="37"/>
      <c r="E4" s="37"/>
      <c r="F4" s="37"/>
      <c r="G4" s="37">
        <v>1758</v>
      </c>
      <c r="H4" s="37">
        <v>1521</v>
      </c>
      <c r="I4" s="37">
        <v>1636</v>
      </c>
      <c r="J4" s="37"/>
      <c r="K4" s="37">
        <v>814</v>
      </c>
      <c r="L4" s="37">
        <v>1388</v>
      </c>
      <c r="M4" s="37">
        <v>1656</v>
      </c>
      <c r="N4" s="37">
        <f>AG4-SUM(K4:M4)</f>
        <v>1589</v>
      </c>
      <c r="O4" s="37">
        <v>1620</v>
      </c>
      <c r="P4" s="37">
        <v>1817</v>
      </c>
      <c r="Q4" s="37">
        <v>1756</v>
      </c>
      <c r="R4" s="37">
        <f>AH4-SUM(O4:Q4)</f>
        <v>1836</v>
      </c>
      <c r="S4" s="37">
        <v>1776</v>
      </c>
      <c r="T4" s="37">
        <v>1716</v>
      </c>
      <c r="U4" s="37">
        <v>1818</v>
      </c>
      <c r="V4" s="54"/>
      <c r="AE4" s="37"/>
      <c r="AF4" s="37"/>
      <c r="AG4" s="37">
        <v>5447</v>
      </c>
      <c r="AH4" s="37">
        <v>7029</v>
      </c>
      <c r="AI4" s="54"/>
    </row>
    <row r="5" spans="1:46" s="32" customFormat="1" x14ac:dyDescent="0.2">
      <c r="B5" s="39" t="s">
        <v>124</v>
      </c>
      <c r="C5" s="37"/>
      <c r="D5" s="37"/>
      <c r="E5" s="37"/>
      <c r="F5" s="37"/>
      <c r="G5" s="37">
        <v>320</v>
      </c>
      <c r="H5" s="37">
        <v>253</v>
      </c>
      <c r="I5" s="37">
        <v>296</v>
      </c>
      <c r="J5" s="37"/>
      <c r="K5" s="37">
        <v>362</v>
      </c>
      <c r="L5" s="37">
        <v>689</v>
      </c>
      <c r="M5" s="37">
        <v>450</v>
      </c>
      <c r="N5" s="37">
        <f>AG5-SUM(K5:M5)</f>
        <v>600</v>
      </c>
      <c r="O5" s="37">
        <v>533</v>
      </c>
      <c r="P5" s="37">
        <v>458</v>
      </c>
      <c r="Q5" s="37">
        <v>433</v>
      </c>
      <c r="R5" s="37">
        <f>AH5-SUM(O5:Q5)</f>
        <v>505</v>
      </c>
      <c r="S5" s="37">
        <v>399</v>
      </c>
      <c r="T5" s="37">
        <v>349</v>
      </c>
      <c r="U5" s="37">
        <v>355</v>
      </c>
      <c r="V5" s="54"/>
      <c r="AE5" s="37"/>
      <c r="AF5" s="37"/>
      <c r="AG5" s="37">
        <v>2101</v>
      </c>
      <c r="AH5" s="37">
        <v>1929</v>
      </c>
      <c r="AI5" s="54"/>
    </row>
    <row r="6" spans="1:46" s="2" customFormat="1" x14ac:dyDescent="0.2">
      <c r="B6" s="2" t="s">
        <v>76</v>
      </c>
      <c r="C6" s="34"/>
      <c r="D6" s="34"/>
      <c r="E6" s="34"/>
      <c r="F6" s="34"/>
      <c r="G6" s="34">
        <f t="shared" ref="G6:I6" si="0">G4+G5</f>
        <v>2078</v>
      </c>
      <c r="H6" s="34">
        <f t="shared" si="0"/>
        <v>1774</v>
      </c>
      <c r="I6" s="34">
        <f t="shared" si="0"/>
        <v>1932</v>
      </c>
      <c r="J6" s="34"/>
      <c r="K6" s="34">
        <f t="shared" ref="K6:U6" si="1">K4+K5</f>
        <v>1176</v>
      </c>
      <c r="L6" s="34">
        <f t="shared" si="1"/>
        <v>2077</v>
      </c>
      <c r="M6" s="34">
        <f t="shared" si="1"/>
        <v>2106</v>
      </c>
      <c r="N6" s="34">
        <f t="shared" si="1"/>
        <v>2189</v>
      </c>
      <c r="O6" s="34">
        <f t="shared" si="1"/>
        <v>2153</v>
      </c>
      <c r="P6" s="34">
        <f t="shared" si="1"/>
        <v>2275</v>
      </c>
      <c r="Q6" s="34">
        <f t="shared" si="1"/>
        <v>2189</v>
      </c>
      <c r="R6" s="34">
        <f t="shared" si="1"/>
        <v>2341</v>
      </c>
      <c r="S6" s="34">
        <f t="shared" si="1"/>
        <v>2175</v>
      </c>
      <c r="T6" s="34">
        <f t="shared" si="1"/>
        <v>2065</v>
      </c>
      <c r="U6" s="34">
        <f t="shared" si="1"/>
        <v>2173</v>
      </c>
      <c r="V6" s="62">
        <f>U6*(1+V24)</f>
        <v>2281.65</v>
      </c>
      <c r="AE6" s="34"/>
      <c r="AF6" s="34"/>
      <c r="AG6" s="34">
        <f>AG4+AG5</f>
        <v>7548</v>
      </c>
      <c r="AH6" s="34">
        <f>AH4+AH5</f>
        <v>8958</v>
      </c>
      <c r="AI6" s="62">
        <f>SUM(S6:V6)</f>
        <v>8694.65</v>
      </c>
      <c r="AJ6" s="34">
        <f>AI6*(1+AJ21)</f>
        <v>9042.4359999999997</v>
      </c>
    </row>
    <row r="7" spans="1:46" x14ac:dyDescent="0.2">
      <c r="B7" s="1" t="s">
        <v>77</v>
      </c>
      <c r="C7" s="35"/>
      <c r="D7" s="35"/>
      <c r="E7" s="35"/>
      <c r="F7" s="35"/>
      <c r="G7" s="35">
        <v>1389</v>
      </c>
      <c r="H7" s="35">
        <v>1240</v>
      </c>
      <c r="I7" s="35">
        <v>1312</v>
      </c>
      <c r="J7" s="35"/>
      <c r="K7" s="35">
        <v>905</v>
      </c>
      <c r="L7" s="35">
        <v>1539</v>
      </c>
      <c r="M7" s="35">
        <v>1456</v>
      </c>
      <c r="N7" s="35">
        <f>AG7-SUM(K7:M7)</f>
        <v>1465</v>
      </c>
      <c r="O7" s="35">
        <v>1404</v>
      </c>
      <c r="P7" s="35">
        <v>1477</v>
      </c>
      <c r="Q7" s="35">
        <v>1429</v>
      </c>
      <c r="R7" s="35">
        <f>AH7-SUM(O7:Q7)</f>
        <v>1568</v>
      </c>
      <c r="S7" s="35">
        <v>1435</v>
      </c>
      <c r="T7" s="35">
        <v>1411</v>
      </c>
      <c r="U7" s="35">
        <v>1477</v>
      </c>
      <c r="V7" s="57">
        <f>V6*(1-V26)</f>
        <v>1551.5219999999999</v>
      </c>
      <c r="AE7" s="35"/>
      <c r="AF7" s="35"/>
      <c r="AG7" s="35">
        <v>5365</v>
      </c>
      <c r="AH7" s="35">
        <v>5878</v>
      </c>
      <c r="AI7" s="57">
        <f>SUM(S7:V7)</f>
        <v>5874.5219999999999</v>
      </c>
      <c r="AJ7" s="35">
        <f>AJ6-AJ8</f>
        <v>5968.0077599999995</v>
      </c>
    </row>
    <row r="8" spans="1:46" s="2" customFormat="1" x14ac:dyDescent="0.2">
      <c r="B8" s="2" t="s">
        <v>78</v>
      </c>
      <c r="C8" s="34">
        <f t="shared" ref="C8:T8" si="2">C6-C7</f>
        <v>0</v>
      </c>
      <c r="D8" s="34">
        <f t="shared" si="2"/>
        <v>0</v>
      </c>
      <c r="E8" s="34">
        <f t="shared" si="2"/>
        <v>0</v>
      </c>
      <c r="F8" s="34">
        <f t="shared" si="2"/>
        <v>0</v>
      </c>
      <c r="G8" s="34">
        <f t="shared" si="2"/>
        <v>689</v>
      </c>
      <c r="H8" s="34">
        <f t="shared" si="2"/>
        <v>534</v>
      </c>
      <c r="I8" s="34">
        <f t="shared" si="2"/>
        <v>620</v>
      </c>
      <c r="J8" s="34">
        <f t="shared" si="2"/>
        <v>0</v>
      </c>
      <c r="K8" s="34">
        <f t="shared" si="2"/>
        <v>271</v>
      </c>
      <c r="L8" s="34">
        <f t="shared" si="2"/>
        <v>538</v>
      </c>
      <c r="M8" s="34">
        <f t="shared" si="2"/>
        <v>650</v>
      </c>
      <c r="N8" s="34">
        <f t="shared" si="2"/>
        <v>724</v>
      </c>
      <c r="O8" s="34">
        <f t="shared" si="2"/>
        <v>749</v>
      </c>
      <c r="P8" s="34">
        <f t="shared" si="2"/>
        <v>798</v>
      </c>
      <c r="Q8" s="34">
        <f t="shared" si="2"/>
        <v>760</v>
      </c>
      <c r="R8" s="34">
        <f t="shared" si="2"/>
        <v>773</v>
      </c>
      <c r="S8" s="34">
        <f t="shared" si="2"/>
        <v>740</v>
      </c>
      <c r="T8" s="34">
        <f t="shared" si="2"/>
        <v>654</v>
      </c>
      <c r="U8" s="34">
        <f>U6-U7</f>
        <v>696</v>
      </c>
      <c r="V8" s="62">
        <f>V6-V7</f>
        <v>730.12800000000016</v>
      </c>
      <c r="AD8" s="34">
        <f t="shared" ref="AD8" si="3">AD6-AD7</f>
        <v>0</v>
      </c>
      <c r="AE8" s="34">
        <f t="shared" ref="AE8:AG8" si="4">AE6-AE7</f>
        <v>0</v>
      </c>
      <c r="AF8" s="34">
        <f t="shared" si="4"/>
        <v>0</v>
      </c>
      <c r="AG8" s="34">
        <f t="shared" si="4"/>
        <v>2183</v>
      </c>
      <c r="AH8" s="34">
        <f>AH6-AH7</f>
        <v>3080</v>
      </c>
      <c r="AI8" s="62">
        <f>AI6-AI7</f>
        <v>2820.1279999999997</v>
      </c>
      <c r="AJ8" s="34">
        <f>AJ6*AJ26</f>
        <v>3074.4282400000002</v>
      </c>
    </row>
    <row r="9" spans="1:46" x14ac:dyDescent="0.2">
      <c r="B9" s="1" t="s">
        <v>79</v>
      </c>
      <c r="C9" s="35"/>
      <c r="D9" s="35"/>
      <c r="E9" s="35"/>
      <c r="F9" s="35"/>
      <c r="G9" s="35">
        <v>416</v>
      </c>
      <c r="H9" s="35">
        <v>393</v>
      </c>
      <c r="I9" s="35">
        <v>411</v>
      </c>
      <c r="J9" s="35"/>
      <c r="K9" s="35">
        <v>316</v>
      </c>
      <c r="L9" s="35">
        <v>387</v>
      </c>
      <c r="M9" s="35">
        <v>424</v>
      </c>
      <c r="N9" s="35">
        <f t="shared" ref="N9:N11" si="5">AG9-SUM(K9:M9)</f>
        <v>460</v>
      </c>
      <c r="O9" s="35">
        <v>418</v>
      </c>
      <c r="P9" s="35">
        <v>450</v>
      </c>
      <c r="Q9" s="35">
        <v>458</v>
      </c>
      <c r="R9" s="35">
        <f t="shared" ref="R9:R11" si="6">AH9-SUM(O9:Q9)</f>
        <v>525</v>
      </c>
      <c r="S9" s="35">
        <v>463</v>
      </c>
      <c r="T9" s="35">
        <v>452</v>
      </c>
      <c r="U9" s="35">
        <v>467</v>
      </c>
      <c r="V9" s="57">
        <f>V6*0.21</f>
        <v>479.1465</v>
      </c>
      <c r="X9" s="30"/>
      <c r="Y9" s="30"/>
      <c r="Z9" s="30"/>
      <c r="AA9" s="30"/>
      <c r="AD9" s="35"/>
      <c r="AE9" s="35"/>
      <c r="AF9" s="35"/>
      <c r="AG9" s="35">
        <v>1587</v>
      </c>
      <c r="AH9" s="35">
        <v>1851</v>
      </c>
      <c r="AI9" s="57">
        <f t="shared" ref="AI9:AI11" si="7">SUM(S9:V9)</f>
        <v>1861.1465000000001</v>
      </c>
      <c r="AJ9" s="35">
        <f>AJ6*0.21</f>
        <v>1898.9115599999998</v>
      </c>
      <c r="AK9" s="35"/>
    </row>
    <row r="10" spans="1:46" x14ac:dyDescent="0.2">
      <c r="B10" s="1" t="s">
        <v>80</v>
      </c>
      <c r="C10" s="35"/>
      <c r="D10" s="35"/>
      <c r="E10" s="35"/>
      <c r="F10" s="35"/>
      <c r="G10" s="35">
        <v>44</v>
      </c>
      <c r="H10" s="35">
        <v>46</v>
      </c>
      <c r="I10" s="35">
        <v>44</v>
      </c>
      <c r="J10" s="35"/>
      <c r="K10" s="35">
        <v>44</v>
      </c>
      <c r="L10" s="35">
        <v>44</v>
      </c>
      <c r="M10" s="35">
        <v>44</v>
      </c>
      <c r="N10" s="35">
        <f t="shared" si="5"/>
        <v>44</v>
      </c>
      <c r="O10" s="35">
        <v>45</v>
      </c>
      <c r="P10" s="35">
        <v>48</v>
      </c>
      <c r="Q10" s="35">
        <v>49</v>
      </c>
      <c r="R10" s="35">
        <f t="shared" si="6"/>
        <v>55</v>
      </c>
      <c r="S10" s="35">
        <v>54</v>
      </c>
      <c r="T10" s="35">
        <v>51</v>
      </c>
      <c r="U10" s="35">
        <v>52</v>
      </c>
      <c r="V10" s="57">
        <f>AVERAGE(R10:U10)</f>
        <v>53</v>
      </c>
      <c r="AD10" s="35"/>
      <c r="AE10" s="35"/>
      <c r="AF10" s="35"/>
      <c r="AG10" s="35">
        <v>176</v>
      </c>
      <c r="AH10" s="35">
        <v>197</v>
      </c>
      <c r="AI10" s="57">
        <f t="shared" si="7"/>
        <v>210</v>
      </c>
      <c r="AJ10" s="35">
        <f>AVERAGE(AD10:AI10)</f>
        <v>194.33333333333334</v>
      </c>
      <c r="AK10" s="35">
        <f t="shared" ref="AK10:AT11" si="8">AVERAGE(AE10:AJ10)</f>
        <v>194.33333333333334</v>
      </c>
      <c r="AL10" s="35">
        <f t="shared" si="8"/>
        <v>194.33333333333334</v>
      </c>
      <c r="AM10" s="35">
        <f t="shared" si="8"/>
        <v>194.33333333333334</v>
      </c>
      <c r="AN10" s="35">
        <f t="shared" si="8"/>
        <v>197.38888888888891</v>
      </c>
      <c r="AO10" s="35">
        <f t="shared" si="8"/>
        <v>197.45370370370372</v>
      </c>
      <c r="AP10" s="35">
        <f t="shared" si="8"/>
        <v>195.36265432098767</v>
      </c>
      <c r="AQ10" s="35">
        <f t="shared" si="8"/>
        <v>195.53420781893007</v>
      </c>
      <c r="AR10" s="35">
        <f t="shared" si="8"/>
        <v>195.73435356652951</v>
      </c>
      <c r="AS10" s="35">
        <f t="shared" si="8"/>
        <v>195.96785693872889</v>
      </c>
      <c r="AT10" s="35">
        <f t="shared" si="8"/>
        <v>196.24027753962812</v>
      </c>
    </row>
    <row r="11" spans="1:46" x14ac:dyDescent="0.2">
      <c r="B11" s="1" t="s">
        <v>81</v>
      </c>
      <c r="C11" s="35"/>
      <c r="D11" s="35"/>
      <c r="E11" s="35"/>
      <c r="F11" s="35"/>
      <c r="G11" s="35">
        <v>1</v>
      </c>
      <c r="H11" s="35">
        <v>14</v>
      </c>
      <c r="I11" s="35">
        <v>1</v>
      </c>
      <c r="J11" s="35"/>
      <c r="K11" s="35">
        <v>16</v>
      </c>
      <c r="L11" s="35">
        <v>38</v>
      </c>
      <c r="M11" s="35">
        <v>4</v>
      </c>
      <c r="N11" s="35">
        <f t="shared" si="5"/>
        <v>59</v>
      </c>
      <c r="O11" s="35">
        <v>4</v>
      </c>
      <c r="P11" s="35">
        <v>36</v>
      </c>
      <c r="Q11" s="35">
        <v>57</v>
      </c>
      <c r="R11" s="35">
        <f t="shared" si="6"/>
        <v>75</v>
      </c>
      <c r="S11" s="35">
        <v>6</v>
      </c>
      <c r="T11" s="35">
        <v>12</v>
      </c>
      <c r="U11" s="35">
        <v>20</v>
      </c>
      <c r="V11" s="57">
        <f>AVERAGE(R11:U11)</f>
        <v>28.25</v>
      </c>
      <c r="AD11" s="35"/>
      <c r="AE11" s="35"/>
      <c r="AF11" s="35"/>
      <c r="AG11" s="35">
        <v>117</v>
      </c>
      <c r="AH11" s="35">
        <v>172</v>
      </c>
      <c r="AI11" s="57">
        <f t="shared" si="7"/>
        <v>66.25</v>
      </c>
      <c r="AJ11" s="35">
        <f t="shared" ref="AJ11" si="9">AVERAGE(AD11:AI11)</f>
        <v>118.41666666666667</v>
      </c>
      <c r="AK11" s="35">
        <f t="shared" si="8"/>
        <v>118.41666666666667</v>
      </c>
      <c r="AL11" s="35">
        <f t="shared" si="8"/>
        <v>118.41666666666667</v>
      </c>
      <c r="AM11" s="35">
        <f t="shared" si="8"/>
        <v>118.41666666666667</v>
      </c>
      <c r="AN11" s="35">
        <f t="shared" si="8"/>
        <v>118.65277777777777</v>
      </c>
      <c r="AO11" s="35">
        <f t="shared" si="8"/>
        <v>109.76157407407409</v>
      </c>
      <c r="AP11" s="35">
        <f t="shared" si="8"/>
        <v>117.01350308641976</v>
      </c>
      <c r="AQ11" s="35">
        <f t="shared" si="8"/>
        <v>116.77964248971193</v>
      </c>
      <c r="AR11" s="35">
        <f t="shared" si="8"/>
        <v>116.50680512688615</v>
      </c>
      <c r="AS11" s="35">
        <f t="shared" si="8"/>
        <v>116.18849487025606</v>
      </c>
      <c r="AT11" s="35">
        <f t="shared" si="8"/>
        <v>115.8171329041876</v>
      </c>
    </row>
    <row r="12" spans="1:46" s="2" customFormat="1" x14ac:dyDescent="0.2">
      <c r="B12" s="2" t="s">
        <v>82</v>
      </c>
      <c r="C12" s="34">
        <f t="shared" ref="C12:T12" si="10">C8-C9-C10-C11</f>
        <v>0</v>
      </c>
      <c r="D12" s="34">
        <f t="shared" si="10"/>
        <v>0</v>
      </c>
      <c r="E12" s="34">
        <f t="shared" si="10"/>
        <v>0</v>
      </c>
      <c r="F12" s="34">
        <f t="shared" si="10"/>
        <v>0</v>
      </c>
      <c r="G12" s="34">
        <f t="shared" si="10"/>
        <v>228</v>
      </c>
      <c r="H12" s="34">
        <f t="shared" si="10"/>
        <v>81</v>
      </c>
      <c r="I12" s="34">
        <f t="shared" si="10"/>
        <v>164</v>
      </c>
      <c r="J12" s="34">
        <f t="shared" si="10"/>
        <v>0</v>
      </c>
      <c r="K12" s="34">
        <f t="shared" si="10"/>
        <v>-105</v>
      </c>
      <c r="L12" s="34">
        <f t="shared" si="10"/>
        <v>69</v>
      </c>
      <c r="M12" s="34">
        <f t="shared" si="10"/>
        <v>178</v>
      </c>
      <c r="N12" s="34">
        <f t="shared" si="10"/>
        <v>161</v>
      </c>
      <c r="O12" s="34">
        <f t="shared" si="10"/>
        <v>282</v>
      </c>
      <c r="P12" s="34">
        <f t="shared" si="10"/>
        <v>264</v>
      </c>
      <c r="Q12" s="34">
        <f t="shared" si="10"/>
        <v>196</v>
      </c>
      <c r="R12" s="34">
        <f t="shared" si="10"/>
        <v>118</v>
      </c>
      <c r="S12" s="34">
        <f t="shared" si="10"/>
        <v>217</v>
      </c>
      <c r="T12" s="34">
        <f t="shared" si="10"/>
        <v>139</v>
      </c>
      <c r="U12" s="34">
        <f>U8-U9-U10-U11</f>
        <v>157</v>
      </c>
      <c r="V12" s="62">
        <f>V8-V9-V10-V11</f>
        <v>169.73150000000015</v>
      </c>
      <c r="AD12" s="34">
        <f t="shared" ref="AD12" si="11">AD8-AD9-AD10-AD11</f>
        <v>0</v>
      </c>
      <c r="AE12" s="34">
        <f t="shared" ref="AE12:AJ12" si="12">AE8-AE9-AE10-AE11</f>
        <v>0</v>
      </c>
      <c r="AF12" s="34">
        <f t="shared" si="12"/>
        <v>0</v>
      </c>
      <c r="AG12" s="34">
        <f t="shared" si="12"/>
        <v>303</v>
      </c>
      <c r="AH12" s="34">
        <f t="shared" si="12"/>
        <v>860</v>
      </c>
      <c r="AI12" s="62">
        <f t="shared" si="12"/>
        <v>682.73149999999964</v>
      </c>
      <c r="AJ12" s="34">
        <f t="shared" si="12"/>
        <v>862.76668000000041</v>
      </c>
    </row>
    <row r="13" spans="1:46" x14ac:dyDescent="0.2">
      <c r="B13" s="1" t="s">
        <v>83</v>
      </c>
      <c r="C13" s="35"/>
      <c r="D13" s="35"/>
      <c r="E13" s="35"/>
      <c r="F13" s="35"/>
      <c r="G13" s="35">
        <v>4</v>
      </c>
      <c r="H13" s="35">
        <v>2</v>
      </c>
      <c r="I13" s="35">
        <v>3</v>
      </c>
      <c r="J13" s="35"/>
      <c r="K13" s="35">
        <v>-1</v>
      </c>
      <c r="L13" s="35">
        <v>-2</v>
      </c>
      <c r="M13" s="35">
        <v>-2</v>
      </c>
      <c r="N13" s="35">
        <f t="shared" ref="N13:N14" si="13">AG13-SUM(K13:M13)</f>
        <v>-2</v>
      </c>
      <c r="O13" s="35">
        <v>-2</v>
      </c>
      <c r="P13" s="35">
        <v>-2</v>
      </c>
      <c r="Q13" s="35">
        <v>-4</v>
      </c>
      <c r="R13" s="35">
        <f t="shared" ref="R13:R14" si="14">AH13-SUM(O13:Q13)</f>
        <v>-6</v>
      </c>
      <c r="S13" s="35">
        <v>-5</v>
      </c>
      <c r="T13" s="35">
        <v>-5</v>
      </c>
      <c r="U13" s="35">
        <v>-3</v>
      </c>
      <c r="V13" s="57">
        <f>AVERAGE(R13:U13)</f>
        <v>-4.75</v>
      </c>
      <c r="AD13" s="35"/>
      <c r="AE13" s="35"/>
      <c r="AF13" s="35"/>
      <c r="AG13" s="35">
        <v>-7</v>
      </c>
      <c r="AH13" s="35">
        <v>-14</v>
      </c>
      <c r="AI13" s="57">
        <f t="shared" ref="AI13:AI14" si="15">SUM(S13:V13)</f>
        <v>-17.75</v>
      </c>
      <c r="AJ13" s="35">
        <f t="shared" ref="AJ13:AJ14" si="16">AVERAGE(AD13:AI13)</f>
        <v>-12.916666666666666</v>
      </c>
      <c r="AK13" s="35">
        <f t="shared" ref="AK13:AK14" si="17">AVERAGE(AE13:AJ13)</f>
        <v>-12.916666666666666</v>
      </c>
      <c r="AL13" s="35">
        <f t="shared" ref="AL13:AL14" si="18">AVERAGE(AF13:AK13)</f>
        <v>-12.916666666666666</v>
      </c>
      <c r="AM13" s="35">
        <f t="shared" ref="AM13:AM14" si="19">AVERAGE(AG13:AL13)</f>
        <v>-12.916666666666666</v>
      </c>
      <c r="AN13" s="35">
        <f t="shared" ref="AN13:AN14" si="20">AVERAGE(AH13:AM13)</f>
        <v>-13.902777777777779</v>
      </c>
      <c r="AO13" s="35">
        <f t="shared" ref="AO13:AO14" si="21">AVERAGE(AI13:AN13)</f>
        <v>-13.886574074074071</v>
      </c>
      <c r="AP13" s="35">
        <f t="shared" ref="AP13:AP14" si="22">AVERAGE(AJ13:AO13)</f>
        <v>-13.242669753086419</v>
      </c>
      <c r="AQ13" s="35">
        <f t="shared" ref="AQ13:AQ14" si="23">AVERAGE(AK13:AP13)</f>
        <v>-13.297003600823045</v>
      </c>
      <c r="AR13" s="35">
        <f t="shared" ref="AR13:AR14" si="24">AVERAGE(AL13:AQ13)</f>
        <v>-13.36039308984911</v>
      </c>
      <c r="AS13" s="35">
        <f t="shared" ref="AS13:AS14" si="25">AVERAGE(AM13:AR13)</f>
        <v>-13.434347493712847</v>
      </c>
      <c r="AT13" s="35">
        <f t="shared" ref="AT13:AT14" si="26">AVERAGE(AN13:AS13)</f>
        <v>-13.520627631553879</v>
      </c>
    </row>
    <row r="14" spans="1:46" x14ac:dyDescent="0.2">
      <c r="B14" s="1" t="s">
        <v>84</v>
      </c>
      <c r="C14" s="35"/>
      <c r="D14" s="35"/>
      <c r="E14" s="35"/>
      <c r="F14" s="35"/>
      <c r="G14" s="35">
        <v>2</v>
      </c>
      <c r="H14" s="35">
        <v>2</v>
      </c>
      <c r="I14" s="35">
        <v>4</v>
      </c>
      <c r="J14" s="35"/>
      <c r="K14" s="35">
        <v>1</v>
      </c>
      <c r="L14" s="35">
        <v>3</v>
      </c>
      <c r="M14" s="35">
        <v>193</v>
      </c>
      <c r="N14" s="35">
        <f t="shared" si="13"/>
        <v>1</v>
      </c>
      <c r="O14" s="35">
        <v>4</v>
      </c>
      <c r="P14" s="35">
        <v>325</v>
      </c>
      <c r="Q14" s="35">
        <v>30</v>
      </c>
      <c r="R14" s="35">
        <f t="shared" si="14"/>
        <v>35</v>
      </c>
      <c r="S14" s="35">
        <v>-22</v>
      </c>
      <c r="T14" s="35">
        <v>9</v>
      </c>
      <c r="U14" s="35">
        <v>-11</v>
      </c>
      <c r="V14" s="57">
        <f>AVERAGE(R14:U14)</f>
        <v>2.75</v>
      </c>
      <c r="AD14" s="35"/>
      <c r="AE14" s="35"/>
      <c r="AF14" s="35"/>
      <c r="AG14" s="35">
        <v>198</v>
      </c>
      <c r="AH14" s="35">
        <v>394</v>
      </c>
      <c r="AI14" s="57">
        <f t="shared" si="15"/>
        <v>-21.25</v>
      </c>
      <c r="AJ14" s="35">
        <f t="shared" si="16"/>
        <v>190.25</v>
      </c>
      <c r="AK14" s="35">
        <f t="shared" si="17"/>
        <v>190.25</v>
      </c>
      <c r="AL14" s="35">
        <f t="shared" si="18"/>
        <v>190.25</v>
      </c>
      <c r="AM14" s="35">
        <f t="shared" si="19"/>
        <v>190.25</v>
      </c>
      <c r="AN14" s="35">
        <f t="shared" si="20"/>
        <v>188.95833333333334</v>
      </c>
      <c r="AO14" s="35">
        <f t="shared" si="21"/>
        <v>154.78472222222223</v>
      </c>
      <c r="AP14" s="35">
        <f t="shared" si="22"/>
        <v>184.12384259259261</v>
      </c>
      <c r="AQ14" s="35">
        <f t="shared" si="23"/>
        <v>183.10281635802471</v>
      </c>
      <c r="AR14" s="35">
        <f t="shared" si="24"/>
        <v>181.91161908436217</v>
      </c>
      <c r="AS14" s="35">
        <f t="shared" si="25"/>
        <v>180.52188893175585</v>
      </c>
      <c r="AT14" s="35">
        <f t="shared" si="26"/>
        <v>178.90053708704849</v>
      </c>
    </row>
    <row r="15" spans="1:46" x14ac:dyDescent="0.2">
      <c r="B15" s="1" t="s">
        <v>85</v>
      </c>
      <c r="C15" s="35">
        <f t="shared" ref="C15:T15" si="27">C12+C13+C14</f>
        <v>0</v>
      </c>
      <c r="D15" s="35">
        <f t="shared" si="27"/>
        <v>0</v>
      </c>
      <c r="E15" s="35">
        <f t="shared" si="27"/>
        <v>0</v>
      </c>
      <c r="F15" s="35">
        <f t="shared" si="27"/>
        <v>0</v>
      </c>
      <c r="G15" s="35">
        <f t="shared" si="27"/>
        <v>234</v>
      </c>
      <c r="H15" s="35">
        <f t="shared" si="27"/>
        <v>85</v>
      </c>
      <c r="I15" s="35">
        <f t="shared" si="27"/>
        <v>171</v>
      </c>
      <c r="J15" s="35">
        <f t="shared" si="27"/>
        <v>0</v>
      </c>
      <c r="K15" s="35">
        <f t="shared" si="27"/>
        <v>-105</v>
      </c>
      <c r="L15" s="35">
        <f t="shared" si="27"/>
        <v>70</v>
      </c>
      <c r="M15" s="35">
        <f t="shared" si="27"/>
        <v>369</v>
      </c>
      <c r="N15" s="35">
        <f t="shared" si="27"/>
        <v>160</v>
      </c>
      <c r="O15" s="35">
        <f t="shared" si="27"/>
        <v>284</v>
      </c>
      <c r="P15" s="35">
        <f t="shared" si="27"/>
        <v>587</v>
      </c>
      <c r="Q15" s="35">
        <f t="shared" si="27"/>
        <v>222</v>
      </c>
      <c r="R15" s="35">
        <f t="shared" si="27"/>
        <v>147</v>
      </c>
      <c r="S15" s="35">
        <f t="shared" si="27"/>
        <v>190</v>
      </c>
      <c r="T15" s="35">
        <f t="shared" si="27"/>
        <v>143</v>
      </c>
      <c r="U15" s="35">
        <f>U12+U13+U14</f>
        <v>143</v>
      </c>
      <c r="V15" s="57">
        <f>V12+V13+V14</f>
        <v>167.73150000000015</v>
      </c>
      <c r="AD15" s="35">
        <f t="shared" ref="AD15" si="28">AD12+AD13+AD14</f>
        <v>0</v>
      </c>
      <c r="AE15" s="35">
        <f t="shared" ref="AE15:AJ15" si="29">AE12+AE13+AE14</f>
        <v>0</v>
      </c>
      <c r="AF15" s="35">
        <f t="shared" si="29"/>
        <v>0</v>
      </c>
      <c r="AG15" s="35">
        <f t="shared" si="29"/>
        <v>494</v>
      </c>
      <c r="AH15" s="35">
        <f t="shared" si="29"/>
        <v>1240</v>
      </c>
      <c r="AI15" s="57">
        <f t="shared" si="29"/>
        <v>643.73149999999964</v>
      </c>
      <c r="AJ15" s="35">
        <f t="shared" si="29"/>
        <v>1040.1000133333337</v>
      </c>
    </row>
    <row r="16" spans="1:46" x14ac:dyDescent="0.2">
      <c r="B16" s="1" t="s">
        <v>86</v>
      </c>
      <c r="C16" s="35"/>
      <c r="D16" s="35"/>
      <c r="E16" s="35"/>
      <c r="F16" s="35"/>
      <c r="G16" s="35">
        <v>62</v>
      </c>
      <c r="H16" s="35">
        <v>25</v>
      </c>
      <c r="I16" s="35">
        <v>46</v>
      </c>
      <c r="J16" s="35"/>
      <c r="K16" s="35">
        <v>5</v>
      </c>
      <c r="L16" s="35">
        <v>25</v>
      </c>
      <c r="M16" s="35">
        <v>104</v>
      </c>
      <c r="N16" s="35">
        <f>AG16-SUM(K16:M16)</f>
        <v>37</v>
      </c>
      <c r="O16" s="35">
        <v>82</v>
      </c>
      <c r="P16" s="35">
        <v>157</v>
      </c>
      <c r="Q16" s="35">
        <v>64</v>
      </c>
      <c r="R16" s="35">
        <f>AH16-SUM(O16:Q16)</f>
        <v>45</v>
      </c>
      <c r="S16" s="35">
        <v>58</v>
      </c>
      <c r="T16" s="35">
        <v>49</v>
      </c>
      <c r="U16" s="35">
        <v>47</v>
      </c>
      <c r="V16" s="57">
        <f>V15*V29</f>
        <v>55.351395000000053</v>
      </c>
      <c r="AD16" s="35"/>
      <c r="AE16" s="35"/>
      <c r="AF16" s="35"/>
      <c r="AG16" s="35">
        <v>171</v>
      </c>
      <c r="AH16" s="35">
        <v>348</v>
      </c>
      <c r="AI16" s="57">
        <f>SUM(S16:V16)</f>
        <v>209.35139500000005</v>
      </c>
      <c r="AJ16" s="35">
        <f>AJ15*AJ29</f>
        <v>312.03000400000008</v>
      </c>
    </row>
    <row r="17" spans="2:46" s="2" customFormat="1" x14ac:dyDescent="0.2">
      <c r="B17" s="2" t="s">
        <v>87</v>
      </c>
      <c r="C17" s="34">
        <f t="shared" ref="C17:T17" si="30">C15-C16</f>
        <v>0</v>
      </c>
      <c r="D17" s="34">
        <f t="shared" si="30"/>
        <v>0</v>
      </c>
      <c r="E17" s="34">
        <f t="shared" si="30"/>
        <v>0</v>
      </c>
      <c r="F17" s="34">
        <f t="shared" si="30"/>
        <v>0</v>
      </c>
      <c r="G17" s="34">
        <f t="shared" si="30"/>
        <v>172</v>
      </c>
      <c r="H17" s="34">
        <f t="shared" si="30"/>
        <v>60</v>
      </c>
      <c r="I17" s="34">
        <f t="shared" si="30"/>
        <v>125</v>
      </c>
      <c r="J17" s="34">
        <f t="shared" si="30"/>
        <v>0</v>
      </c>
      <c r="K17" s="34">
        <f t="shared" si="30"/>
        <v>-110</v>
      </c>
      <c r="L17" s="34">
        <f t="shared" si="30"/>
        <v>45</v>
      </c>
      <c r="M17" s="34">
        <f t="shared" si="30"/>
        <v>265</v>
      </c>
      <c r="N17" s="34">
        <f t="shared" si="30"/>
        <v>123</v>
      </c>
      <c r="O17" s="34">
        <f t="shared" si="30"/>
        <v>202</v>
      </c>
      <c r="P17" s="34">
        <f t="shared" si="30"/>
        <v>430</v>
      </c>
      <c r="Q17" s="34">
        <f t="shared" si="30"/>
        <v>158</v>
      </c>
      <c r="R17" s="34">
        <f t="shared" si="30"/>
        <v>102</v>
      </c>
      <c r="S17" s="34">
        <f t="shared" si="30"/>
        <v>132</v>
      </c>
      <c r="T17" s="34">
        <f t="shared" si="30"/>
        <v>94</v>
      </c>
      <c r="U17" s="34">
        <f>U15-U16</f>
        <v>96</v>
      </c>
      <c r="V17" s="62">
        <f>V15-V16</f>
        <v>112.3801050000001</v>
      </c>
      <c r="W17" s="34"/>
      <c r="AD17" s="34">
        <f t="shared" ref="AD17" si="31">AD15-AD16</f>
        <v>0</v>
      </c>
      <c r="AE17" s="34">
        <f t="shared" ref="AE17:AJ17" si="32">AE15-AE16</f>
        <v>0</v>
      </c>
      <c r="AF17" s="34">
        <f t="shared" si="32"/>
        <v>0</v>
      </c>
      <c r="AG17" s="34">
        <f t="shared" si="32"/>
        <v>323</v>
      </c>
      <c r="AH17" s="34">
        <f t="shared" si="32"/>
        <v>892</v>
      </c>
      <c r="AI17" s="62">
        <f t="shared" si="32"/>
        <v>434.38010499999962</v>
      </c>
      <c r="AJ17" s="34">
        <f t="shared" si="32"/>
        <v>728.07000933333359</v>
      </c>
    </row>
    <row r="18" spans="2:46" x14ac:dyDescent="0.2">
      <c r="B18" s="1" t="s">
        <v>88</v>
      </c>
      <c r="C18" s="35"/>
      <c r="D18" s="35"/>
      <c r="E18" s="35"/>
      <c r="F18" s="35"/>
      <c r="G18" s="28">
        <f t="shared" ref="G18:I18" si="33">G17/G19</f>
        <v>1.5302491103202847</v>
      </c>
      <c r="H18" s="28">
        <f t="shared" si="33"/>
        <v>0.54151624548736466</v>
      </c>
      <c r="I18" s="28">
        <f t="shared" si="33"/>
        <v>1.1693171188026192</v>
      </c>
      <c r="J18" s="35"/>
      <c r="K18" s="28">
        <f t="shared" ref="K18:V18" si="34">K17/K19</f>
        <v>-1.0546500479386385</v>
      </c>
      <c r="L18" s="28">
        <f t="shared" si="34"/>
        <v>0.43062200956937802</v>
      </c>
      <c r="M18" s="28">
        <f t="shared" si="34"/>
        <v>2.5383141762452106</v>
      </c>
      <c r="N18" s="28">
        <f t="shared" si="34"/>
        <v>1.1792905081495686</v>
      </c>
      <c r="O18" s="28">
        <f t="shared" si="34"/>
        <v>1.9498069498069499</v>
      </c>
      <c r="P18" s="28">
        <f t="shared" si="34"/>
        <v>4.1425818882466281</v>
      </c>
      <c r="Q18" s="28">
        <f t="shared" si="34"/>
        <v>1.5310077519379846</v>
      </c>
      <c r="R18" s="28">
        <f t="shared" si="34"/>
        <v>0.99512195121951219</v>
      </c>
      <c r="S18" s="28">
        <f t="shared" si="34"/>
        <v>1.3735691987513008</v>
      </c>
      <c r="T18" s="28">
        <f t="shared" si="34"/>
        <v>0.99893730074388953</v>
      </c>
      <c r="U18" s="28">
        <f t="shared" si="34"/>
        <v>1.0278372591006424</v>
      </c>
      <c r="V18" s="64">
        <f t="shared" si="34"/>
        <v>1.2032131156316928</v>
      </c>
      <c r="AG18" s="28">
        <f t="shared" ref="AG18:AJ18" si="35">AG17/AG19</f>
        <v>3.0968360498561842</v>
      </c>
      <c r="AH18" s="28">
        <f t="shared" si="35"/>
        <v>8.7024390243902445</v>
      </c>
      <c r="AI18" s="65">
        <f>AI17/AI19</f>
        <v>4.6507505888650922</v>
      </c>
      <c r="AJ18" s="28">
        <f t="shared" si="35"/>
        <v>7.7951821127765903</v>
      </c>
    </row>
    <row r="19" spans="2:46" s="36" customFormat="1" x14ac:dyDescent="0.2">
      <c r="B19" s="36" t="s">
        <v>4</v>
      </c>
      <c r="G19" s="36">
        <v>112.4</v>
      </c>
      <c r="H19" s="36">
        <v>110.8</v>
      </c>
      <c r="I19" s="36">
        <v>106.9</v>
      </c>
      <c r="K19" s="36">
        <v>104.3</v>
      </c>
      <c r="L19" s="36">
        <v>104.5</v>
      </c>
      <c r="M19" s="36">
        <v>104.4</v>
      </c>
      <c r="N19" s="36">
        <f>AG19</f>
        <v>104.3</v>
      </c>
      <c r="O19" s="36">
        <v>103.6</v>
      </c>
      <c r="P19" s="36">
        <v>103.8</v>
      </c>
      <c r="Q19" s="36">
        <v>103.2</v>
      </c>
      <c r="R19" s="36">
        <f>AH19</f>
        <v>102.5</v>
      </c>
      <c r="S19" s="36">
        <v>96.1</v>
      </c>
      <c r="T19" s="36">
        <v>94.1</v>
      </c>
      <c r="U19" s="36">
        <v>93.4</v>
      </c>
      <c r="V19" s="67">
        <f>U19</f>
        <v>93.4</v>
      </c>
      <c r="AG19" s="36">
        <v>104.3</v>
      </c>
      <c r="AH19" s="36">
        <v>102.5</v>
      </c>
      <c r="AI19" s="67">
        <f>V19</f>
        <v>93.4</v>
      </c>
      <c r="AJ19" s="36">
        <f>AI19</f>
        <v>93.4</v>
      </c>
    </row>
    <row r="21" spans="2:46" s="2" customFormat="1" x14ac:dyDescent="0.2">
      <c r="B21" s="2" t="s">
        <v>89</v>
      </c>
      <c r="K21" s="29">
        <f t="shared" ref="K21" si="36">K6/G6-1</f>
        <v>-0.43407122232916262</v>
      </c>
      <c r="L21" s="29">
        <f t="shared" ref="L21" si="37">L6/H6-1</f>
        <v>0.17080045095828633</v>
      </c>
      <c r="M21" s="29">
        <f t="shared" ref="M21" si="38">M6/I6-1</f>
        <v>9.0062111801242128E-2</v>
      </c>
      <c r="O21" s="29">
        <f t="shared" ref="O21" si="39">O6/K6-1</f>
        <v>0.83078231292517013</v>
      </c>
      <c r="P21" s="29">
        <f t="shared" ref="P21" si="40">P6/L6-1</f>
        <v>9.5329802599903646E-2</v>
      </c>
      <c r="Q21" s="29">
        <f t="shared" ref="Q21" si="41">Q6/M6-1</f>
        <v>3.9411206077872851E-2</v>
      </c>
      <c r="R21" s="29">
        <f t="shared" ref="R21" si="42">R6/N6-1</f>
        <v>6.9438099588853275E-2</v>
      </c>
      <c r="S21" s="29">
        <f t="shared" ref="S21" si="43">S6/O6-1</f>
        <v>1.021830004644686E-2</v>
      </c>
      <c r="T21" s="29">
        <f t="shared" ref="T21" si="44">T6/P6-1</f>
        <v>-9.2307692307692313E-2</v>
      </c>
      <c r="U21" s="29">
        <f>U6/Q6-1</f>
        <v>-7.3092736409319237E-3</v>
      </c>
      <c r="V21" s="63">
        <f>V6/R6-1</f>
        <v>-2.5352413498504922E-2</v>
      </c>
      <c r="AH21" s="29">
        <f>AH6/AG6-1</f>
        <v>0.18680445151033376</v>
      </c>
      <c r="AI21" s="63">
        <f>AI6/AH6-1</f>
        <v>-2.9398303192677E-2</v>
      </c>
      <c r="AJ21" s="29">
        <v>0.04</v>
      </c>
    </row>
    <row r="22" spans="2:46" s="40" customFormat="1" x14ac:dyDescent="0.2">
      <c r="B22" s="51" t="s">
        <v>125</v>
      </c>
      <c r="K22" s="40">
        <f t="shared" ref="K22:K23" si="45">K4/G4-1</f>
        <v>-0.53697383390216147</v>
      </c>
      <c r="L22" s="40">
        <f t="shared" ref="L22:L23" si="46">L4/H4-1</f>
        <v>-8.7442472057856713E-2</v>
      </c>
      <c r="M22" s="40">
        <f t="shared" ref="M22:M23" si="47">M4/I4-1</f>
        <v>1.2224938875305513E-2</v>
      </c>
      <c r="O22" s="40">
        <f t="shared" ref="O22:O23" si="48">O4/K4-1</f>
        <v>0.99017199017199009</v>
      </c>
      <c r="P22" s="40">
        <f t="shared" ref="P22:P23" si="49">P4/L4-1</f>
        <v>0.30907780979827093</v>
      </c>
      <c r="Q22" s="40">
        <f t="shared" ref="Q22:Q23" si="50">Q4/M4-1</f>
        <v>6.0386473429951737E-2</v>
      </c>
      <c r="R22" s="40">
        <f t="shared" ref="R22:R23" si="51">R4/N4-1</f>
        <v>0.15544367526746372</v>
      </c>
      <c r="S22" s="40">
        <f t="shared" ref="S22:S23" si="52">S4/O4-1</f>
        <v>9.6296296296296324E-2</v>
      </c>
      <c r="T22" s="40">
        <f t="shared" ref="T22:T23" si="53">T4/P4-1</f>
        <v>-5.5586130985140314E-2</v>
      </c>
      <c r="U22" s="40">
        <f>U4/Q4-1</f>
        <v>3.530751708428248E-2</v>
      </c>
      <c r="V22" s="56"/>
      <c r="AH22" s="40">
        <f>AH4/AG4-1</f>
        <v>0.29043510189094923</v>
      </c>
      <c r="AI22" s="56"/>
    </row>
    <row r="23" spans="2:46" s="40" customFormat="1" x14ac:dyDescent="0.2">
      <c r="B23" s="51" t="s">
        <v>126</v>
      </c>
      <c r="K23" s="40">
        <f t="shared" si="45"/>
        <v>0.13125000000000009</v>
      </c>
      <c r="L23" s="40">
        <f t="shared" si="46"/>
        <v>1.7233201581027666</v>
      </c>
      <c r="M23" s="40">
        <f t="shared" si="47"/>
        <v>0.52027027027027017</v>
      </c>
      <c r="O23" s="40">
        <f t="shared" si="48"/>
        <v>0.47237569060773477</v>
      </c>
      <c r="P23" s="40">
        <f t="shared" si="49"/>
        <v>-0.33526850507982586</v>
      </c>
      <c r="Q23" s="40">
        <f t="shared" si="50"/>
        <v>-3.7777777777777799E-2</v>
      </c>
      <c r="R23" s="40">
        <f t="shared" si="51"/>
        <v>-0.15833333333333333</v>
      </c>
      <c r="S23" s="40">
        <f t="shared" si="52"/>
        <v>-0.25140712945590993</v>
      </c>
      <c r="T23" s="40">
        <f t="shared" si="53"/>
        <v>-0.23799126637554591</v>
      </c>
      <c r="U23" s="40">
        <f>U5/Q5-1</f>
        <v>-0.18013856812933027</v>
      </c>
      <c r="V23" s="56"/>
      <c r="AH23" s="40">
        <f>AH5/AG5-1</f>
        <v>-8.186577820085672E-2</v>
      </c>
      <c r="AI23" s="56"/>
    </row>
    <row r="24" spans="2:46" s="30" customFormat="1" x14ac:dyDescent="0.2">
      <c r="B24" s="30" t="s">
        <v>90</v>
      </c>
      <c r="I24" s="30">
        <f>I6/H6-1</f>
        <v>8.9064261555806157E-2</v>
      </c>
      <c r="L24" s="30">
        <f t="shared" ref="L24:M24" si="54">L6/K6-1</f>
        <v>0.76615646258503411</v>
      </c>
      <c r="M24" s="30">
        <f>M6/L6-1</f>
        <v>1.3962445835339343E-2</v>
      </c>
      <c r="N24" s="30">
        <f t="shared" ref="N24:O24" si="55">N6/M6-1</f>
        <v>3.9411206077872851E-2</v>
      </c>
      <c r="O24" s="30">
        <f t="shared" si="55"/>
        <v>-1.6445865692096828E-2</v>
      </c>
      <c r="P24" s="30">
        <f>P6/O6-1</f>
        <v>5.666511843938693E-2</v>
      </c>
      <c r="Q24" s="30">
        <f>Q6/P6-1</f>
        <v>-3.7802197802197846E-2</v>
      </c>
      <c r="R24" s="30">
        <f t="shared" ref="R24:T24" si="56">R6/Q6-1</f>
        <v>6.9438099588853275E-2</v>
      </c>
      <c r="S24" s="30">
        <f t="shared" si="56"/>
        <v>-7.0909867577958141E-2</v>
      </c>
      <c r="T24" s="30">
        <f t="shared" si="56"/>
        <v>-5.0574712643678188E-2</v>
      </c>
      <c r="U24" s="30">
        <f>U6/T6-1</f>
        <v>5.2300242130750574E-2</v>
      </c>
      <c r="V24" s="56">
        <v>0.05</v>
      </c>
      <c r="AE24" s="50" t="s">
        <v>132</v>
      </c>
      <c r="AF24" s="50" t="s">
        <v>132</v>
      </c>
      <c r="AG24" s="50" t="s">
        <v>132</v>
      </c>
      <c r="AH24" s="50" t="s">
        <v>132</v>
      </c>
      <c r="AI24" s="56"/>
    </row>
    <row r="26" spans="2:46" x14ac:dyDescent="0.2">
      <c r="B26" s="1" t="s">
        <v>91</v>
      </c>
      <c r="G26" s="30">
        <f t="shared" ref="G26:H26" si="57">G8/G6</f>
        <v>0.33156881616939365</v>
      </c>
      <c r="H26" s="30">
        <f t="shared" ref="H26:I26" si="58">H8/H6</f>
        <v>0.30101465614430667</v>
      </c>
      <c r="I26" s="30">
        <f t="shared" si="58"/>
        <v>0.32091097308488614</v>
      </c>
      <c r="K26" s="30">
        <f t="shared" ref="K26:L26" si="59">K8/K6</f>
        <v>0.23044217687074831</v>
      </c>
      <c r="L26" s="30">
        <f t="shared" si="59"/>
        <v>0.2590274434280212</v>
      </c>
      <c r="M26" s="30">
        <f t="shared" ref="M26:O26" si="60">M8/M6</f>
        <v>0.30864197530864196</v>
      </c>
      <c r="N26" s="30">
        <f t="shared" ref="N26" si="61">N8/N6</f>
        <v>0.33074463225216993</v>
      </c>
      <c r="O26" s="30">
        <f t="shared" si="60"/>
        <v>0.34788666976312121</v>
      </c>
      <c r="P26" s="30">
        <f t="shared" ref="P26" si="62">P8/P6</f>
        <v>0.35076923076923078</v>
      </c>
      <c r="Q26" s="30">
        <f>Q8/Q6</f>
        <v>0.34719049794426676</v>
      </c>
      <c r="R26" s="30">
        <f t="shared" ref="R26" si="63">R8/R6</f>
        <v>0.33020076890217853</v>
      </c>
      <c r="S26" s="30">
        <f t="shared" ref="S26" si="64">S8/S6</f>
        <v>0.34022988505747126</v>
      </c>
      <c r="T26" s="30">
        <f t="shared" ref="T26" si="65">T8/T6</f>
        <v>0.31670702179176757</v>
      </c>
      <c r="U26" s="30">
        <f>U8/U6</f>
        <v>0.32029452369995398</v>
      </c>
      <c r="V26" s="56">
        <v>0.32</v>
      </c>
      <c r="AG26" s="30">
        <f>AG8/AG6</f>
        <v>0.28921568627450983</v>
      </c>
      <c r="AH26" s="30">
        <f>AH8/AH6</f>
        <v>0.34382674704175037</v>
      </c>
      <c r="AI26" s="56">
        <f>AI8/AI6</f>
        <v>0.32435210157970706</v>
      </c>
      <c r="AJ26" s="30">
        <v>0.34</v>
      </c>
      <c r="AK26" s="30">
        <v>0.35</v>
      </c>
      <c r="AL26" s="30">
        <v>0.35</v>
      </c>
      <c r="AM26" s="30">
        <v>0.35</v>
      </c>
      <c r="AN26" s="30">
        <v>0.35</v>
      </c>
      <c r="AO26" s="30">
        <v>0.35</v>
      </c>
      <c r="AP26" s="30">
        <v>0.35</v>
      </c>
      <c r="AQ26" s="30">
        <v>0.35</v>
      </c>
      <c r="AR26" s="30">
        <v>0.35</v>
      </c>
      <c r="AS26" s="30">
        <v>0.35</v>
      </c>
      <c r="AT26" s="30">
        <v>0.35</v>
      </c>
    </row>
    <row r="27" spans="2:46" x14ac:dyDescent="0.2">
      <c r="B27" s="1" t="s">
        <v>92</v>
      </c>
      <c r="G27" s="30">
        <f t="shared" ref="G27:H27" si="66">G12/G6</f>
        <v>0.109720885466795</v>
      </c>
      <c r="H27" s="30">
        <f t="shared" ref="H27:I27" si="67">H12/H6</f>
        <v>4.5659526493799327E-2</v>
      </c>
      <c r="I27" s="30">
        <f t="shared" si="67"/>
        <v>8.4886128364389232E-2</v>
      </c>
      <c r="K27" s="30">
        <f t="shared" ref="K27:L27" si="68">K12/K6</f>
        <v>-8.9285714285714288E-2</v>
      </c>
      <c r="L27" s="30">
        <f t="shared" si="68"/>
        <v>3.3220991815117958E-2</v>
      </c>
      <c r="M27" s="30">
        <f t="shared" ref="M27:O27" si="69">M12/M6</f>
        <v>8.4520417853751181E-2</v>
      </c>
      <c r="N27" s="30">
        <f t="shared" ref="N27" si="70">N12/N6</f>
        <v>7.3549566011877565E-2</v>
      </c>
      <c r="O27" s="30">
        <f t="shared" si="69"/>
        <v>0.13098002786809104</v>
      </c>
      <c r="P27" s="30">
        <f t="shared" ref="P27" si="71">P12/P6</f>
        <v>0.11604395604395605</v>
      </c>
      <c r="Q27" s="30">
        <f>Q12/Q6</f>
        <v>8.9538602101416176E-2</v>
      </c>
      <c r="R27" s="30">
        <f t="shared" ref="R27" si="72">R12/R6</f>
        <v>5.0405809483126868E-2</v>
      </c>
      <c r="S27" s="30">
        <f t="shared" ref="S27" si="73">S12/S6</f>
        <v>9.9770114942528743E-2</v>
      </c>
      <c r="T27" s="30">
        <f t="shared" ref="T27" si="74">T12/T6</f>
        <v>6.7312348668280869E-2</v>
      </c>
      <c r="U27" s="30">
        <f>U12/U6</f>
        <v>7.2250345144960884E-2</v>
      </c>
      <c r="V27" s="56">
        <f>V12/V6</f>
        <v>7.4389805623123681E-2</v>
      </c>
      <c r="AG27" s="30">
        <f>AG12/AG6</f>
        <v>4.0143084260731321E-2</v>
      </c>
      <c r="AH27" s="30">
        <f>AH12/AH6</f>
        <v>9.6003572225943287E-2</v>
      </c>
      <c r="AI27" s="56">
        <f>AI12/AI6</f>
        <v>7.8523172295607027E-2</v>
      </c>
      <c r="AJ27" s="30">
        <f>AJ12/AJ6</f>
        <v>9.5413081165296662E-2</v>
      </c>
    </row>
    <row r="28" spans="2:46" x14ac:dyDescent="0.2">
      <c r="B28" s="1" t="s">
        <v>93</v>
      </c>
      <c r="G28" s="30">
        <f t="shared" ref="G28:H28" si="75">G17/G6</f>
        <v>8.2771896053897981E-2</v>
      </c>
      <c r="H28" s="30">
        <f t="shared" ref="H28:I28" si="76">H17/H6</f>
        <v>3.3821871476888386E-2</v>
      </c>
      <c r="I28" s="30">
        <f t="shared" si="76"/>
        <v>6.4699792960662528E-2</v>
      </c>
      <c r="K28" s="30">
        <f t="shared" ref="K28:L28" si="77">K17/K6</f>
        <v>-9.3537414965986401E-2</v>
      </c>
      <c r="L28" s="30">
        <f t="shared" si="77"/>
        <v>2.1665864227250843E-2</v>
      </c>
      <c r="M28" s="30">
        <f t="shared" ref="M28:O28" si="78">M17/M6</f>
        <v>0.12583095916429249</v>
      </c>
      <c r="N28" s="30">
        <f t="shared" ref="N28" si="79">N17/N6</f>
        <v>5.6190041114664233E-2</v>
      </c>
      <c r="O28" s="30">
        <f t="shared" si="78"/>
        <v>9.3822573153738972E-2</v>
      </c>
      <c r="P28" s="30">
        <f t="shared" ref="P28" si="80">P17/P6</f>
        <v>0.18901098901098901</v>
      </c>
      <c r="Q28" s="30">
        <f>Q17/Q6</f>
        <v>7.2179077204202829E-2</v>
      </c>
      <c r="R28" s="30">
        <f t="shared" ref="R28" si="81">R17/R6</f>
        <v>4.3571123451516446E-2</v>
      </c>
      <c r="S28" s="30">
        <f t="shared" ref="S28" si="82">S17/S6</f>
        <v>6.0689655172413794E-2</v>
      </c>
      <c r="T28" s="30">
        <f t="shared" ref="T28" si="83">T17/T6</f>
        <v>4.5520581113801452E-2</v>
      </c>
      <c r="U28" s="30">
        <f>U17/U6</f>
        <v>4.4178554993097099E-2</v>
      </c>
      <c r="V28" s="56">
        <f>V17/V6</f>
        <v>4.9253875484846533E-2</v>
      </c>
      <c r="AG28" s="30">
        <f>AG17/AG6</f>
        <v>4.2792792792792793E-2</v>
      </c>
      <c r="AH28" s="30">
        <f>AH17/AH6</f>
        <v>9.9575798169234203E-2</v>
      </c>
      <c r="AI28" s="56">
        <f>AI17/AI6</f>
        <v>4.9959469903906387E-2</v>
      </c>
      <c r="AJ28" s="30">
        <f>AJ17/AJ6</f>
        <v>8.0517021003337338E-2</v>
      </c>
    </row>
    <row r="29" spans="2:46" x14ac:dyDescent="0.2">
      <c r="B29" s="1" t="s">
        <v>94</v>
      </c>
      <c r="G29" s="30">
        <f t="shared" ref="G29:H29" si="84">G16/G15</f>
        <v>0.26495726495726496</v>
      </c>
      <c r="H29" s="30">
        <f t="shared" ref="H29:I29" si="85">H16/H15</f>
        <v>0.29411764705882354</v>
      </c>
      <c r="I29" s="30">
        <f t="shared" si="85"/>
        <v>0.26900584795321636</v>
      </c>
      <c r="K29" s="30">
        <f t="shared" ref="K29:L29" si="86">K16/K15</f>
        <v>-4.7619047619047616E-2</v>
      </c>
      <c r="L29" s="30">
        <f t="shared" si="86"/>
        <v>0.35714285714285715</v>
      </c>
      <c r="M29" s="30">
        <f t="shared" ref="M29:O29" si="87">M16/M15</f>
        <v>0.28184281842818426</v>
      </c>
      <c r="N29" s="30">
        <f t="shared" ref="N29" si="88">N16/N15</f>
        <v>0.23125000000000001</v>
      </c>
      <c r="O29" s="30">
        <f t="shared" si="87"/>
        <v>0.28873239436619719</v>
      </c>
      <c r="P29" s="30">
        <f t="shared" ref="P29" si="89">P16/P15</f>
        <v>0.26746166950596251</v>
      </c>
      <c r="Q29" s="30">
        <f>Q16/Q15</f>
        <v>0.28828828828828829</v>
      </c>
      <c r="R29" s="30">
        <f t="shared" ref="R29" si="90">R16/R15</f>
        <v>0.30612244897959184</v>
      </c>
      <c r="S29" s="30">
        <f t="shared" ref="S29" si="91">S16/S15</f>
        <v>0.30526315789473685</v>
      </c>
      <c r="T29" s="30">
        <f t="shared" ref="T29" si="92">T16/T15</f>
        <v>0.34265734265734266</v>
      </c>
      <c r="U29" s="30">
        <f>U16/U15</f>
        <v>0.32867132867132864</v>
      </c>
      <c r="V29" s="56">
        <v>0.33</v>
      </c>
      <c r="AG29" s="30">
        <f>AG16/AG15</f>
        <v>0.34615384615384615</v>
      </c>
      <c r="AH29" s="30">
        <f>AH16/AH15</f>
        <v>0.28064516129032258</v>
      </c>
      <c r="AI29" s="56">
        <f>AI16/AI15</f>
        <v>0.32521539648129721</v>
      </c>
      <c r="AJ29" s="30">
        <v>0.3</v>
      </c>
      <c r="AK29" s="30">
        <v>0.3</v>
      </c>
      <c r="AL29" s="30">
        <v>0.3</v>
      </c>
      <c r="AM29" s="30">
        <v>0.3</v>
      </c>
      <c r="AN29" s="30">
        <v>0.3</v>
      </c>
      <c r="AO29" s="30">
        <v>0.3</v>
      </c>
      <c r="AP29" s="30">
        <v>0.3</v>
      </c>
      <c r="AQ29" s="30">
        <v>0.3</v>
      </c>
      <c r="AR29" s="30">
        <v>0.3</v>
      </c>
      <c r="AS29" s="30">
        <v>0.3</v>
      </c>
      <c r="AT29" s="30">
        <v>0.3</v>
      </c>
    </row>
    <row r="30" spans="2:46" x14ac:dyDescent="0.2">
      <c r="Q30" s="30"/>
      <c r="U30" s="30"/>
    </row>
    <row r="31" spans="2:46" x14ac:dyDescent="0.2">
      <c r="B31" s="1" t="s">
        <v>134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</row>
    <row r="32" spans="2:46" x14ac:dyDescent="0.2">
      <c r="B32" s="31" t="s">
        <v>127</v>
      </c>
      <c r="Q32" s="30"/>
      <c r="U32" s="30"/>
    </row>
    <row r="33" spans="2:35" s="35" customFormat="1" x14ac:dyDescent="0.2">
      <c r="B33" s="35" t="s">
        <v>128</v>
      </c>
      <c r="G33" s="35">
        <v>3129</v>
      </c>
      <c r="I33" s="35">
        <v>3160</v>
      </c>
      <c r="K33" s="35">
        <v>3113</v>
      </c>
      <c r="M33" s="35">
        <v>3032</v>
      </c>
      <c r="N33" s="35">
        <f>AG33</f>
        <v>2998</v>
      </c>
      <c r="O33" s="35">
        <v>2952</v>
      </c>
      <c r="P33" s="35">
        <v>2911</v>
      </c>
      <c r="Q33" s="35">
        <v>2956</v>
      </c>
      <c r="R33" s="35">
        <v>2858</v>
      </c>
      <c r="S33" s="35">
        <v>2815</v>
      </c>
      <c r="T33" s="35">
        <v>2799</v>
      </c>
      <c r="U33" s="35">
        <v>2794</v>
      </c>
      <c r="V33" s="57"/>
      <c r="AG33" s="35">
        <v>2998</v>
      </c>
      <c r="AH33" s="35">
        <v>2858</v>
      </c>
      <c r="AI33" s="57"/>
    </row>
    <row r="34" spans="2:35" s="48" customFormat="1" x14ac:dyDescent="0.2">
      <c r="B34" s="47" t="s">
        <v>129</v>
      </c>
      <c r="K34" s="48">
        <f>K33-G33</f>
        <v>-16</v>
      </c>
      <c r="M34" s="48">
        <f>M33-I33</f>
        <v>-128</v>
      </c>
      <c r="N34" s="48">
        <f t="shared" ref="N34:R34" si="93">N33-J33</f>
        <v>2998</v>
      </c>
      <c r="O34" s="48">
        <f t="shared" si="93"/>
        <v>-161</v>
      </c>
      <c r="P34" s="48">
        <f t="shared" si="93"/>
        <v>2911</v>
      </c>
      <c r="Q34" s="48">
        <f t="shared" si="93"/>
        <v>-76</v>
      </c>
      <c r="R34" s="48">
        <f t="shared" si="93"/>
        <v>-140</v>
      </c>
      <c r="S34" s="48">
        <f>S33-O33</f>
        <v>-137</v>
      </c>
      <c r="T34" s="48">
        <f>T33-P33</f>
        <v>-112</v>
      </c>
      <c r="U34" s="48">
        <f>U33-Q33</f>
        <v>-162</v>
      </c>
      <c r="V34" s="58"/>
      <c r="AH34" s="48">
        <f>AH33-AG33</f>
        <v>-140</v>
      </c>
      <c r="AI34" s="58"/>
    </row>
    <row r="35" spans="2:35" s="42" customFormat="1" x14ac:dyDescent="0.2">
      <c r="B35" s="41" t="s">
        <v>131</v>
      </c>
      <c r="N35" s="42">
        <f t="shared" ref="N35" si="94">N33-M33</f>
        <v>-34</v>
      </c>
      <c r="O35" s="42">
        <f t="shared" ref="O35" si="95">O33-N33</f>
        <v>-46</v>
      </c>
      <c r="P35" s="42">
        <f t="shared" ref="P35:T35" si="96">P33-O33</f>
        <v>-41</v>
      </c>
      <c r="Q35" s="42">
        <f t="shared" si="96"/>
        <v>45</v>
      </c>
      <c r="R35" s="42">
        <f t="shared" si="96"/>
        <v>-98</v>
      </c>
      <c r="S35" s="42">
        <f t="shared" si="96"/>
        <v>-43</v>
      </c>
      <c r="T35" s="42">
        <f t="shared" si="96"/>
        <v>-16</v>
      </c>
      <c r="U35" s="42">
        <f>U33-T33</f>
        <v>-5</v>
      </c>
      <c r="V35" s="59"/>
      <c r="AE35" s="49" t="s">
        <v>132</v>
      </c>
      <c r="AF35" s="49" t="s">
        <v>132</v>
      </c>
      <c r="AG35" s="49" t="s">
        <v>132</v>
      </c>
      <c r="AH35" s="49" t="s">
        <v>132</v>
      </c>
      <c r="AI35" s="59"/>
    </row>
    <row r="36" spans="2:35" s="44" customFormat="1" x14ac:dyDescent="0.2">
      <c r="B36" s="43" t="s">
        <v>130</v>
      </c>
      <c r="G36" s="44">
        <f t="shared" ref="G36:K36" si="97">G4/G33</f>
        <v>0.5618408437200384</v>
      </c>
      <c r="I36" s="44">
        <f t="shared" si="97"/>
        <v>0.51772151898734176</v>
      </c>
      <c r="K36" s="44">
        <f t="shared" si="97"/>
        <v>0.26148409893992935</v>
      </c>
      <c r="M36" s="44">
        <f t="shared" ref="M36:U36" si="98">M4/M33</f>
        <v>0.54617414248021112</v>
      </c>
      <c r="N36" s="44">
        <f t="shared" si="98"/>
        <v>0.53002001334222815</v>
      </c>
      <c r="O36" s="44">
        <f t="shared" si="98"/>
        <v>0.54878048780487809</v>
      </c>
      <c r="P36" s="44">
        <f t="shared" si="98"/>
        <v>0.62418412916523536</v>
      </c>
      <c r="Q36" s="44">
        <f t="shared" si="98"/>
        <v>0.59404600811907982</v>
      </c>
      <c r="R36" s="44">
        <f t="shared" si="98"/>
        <v>0.64240727781665496</v>
      </c>
      <c r="S36" s="44">
        <f t="shared" si="98"/>
        <v>0.63090586145648309</v>
      </c>
      <c r="T36" s="44">
        <f t="shared" si="98"/>
        <v>0.61307609860664525</v>
      </c>
      <c r="U36" s="44">
        <f t="shared" si="98"/>
        <v>0.65068002863278451</v>
      </c>
      <c r="V36" s="60"/>
      <c r="AG36" s="44">
        <f>AG4/AG33</f>
        <v>1.8168779186124082</v>
      </c>
      <c r="AH36" s="44">
        <f>AH4/AH33</f>
        <v>2.459412176347096</v>
      </c>
      <c r="AI36" s="60"/>
    </row>
    <row r="37" spans="2:35" s="44" customFormat="1" x14ac:dyDescent="0.2">
      <c r="B37" s="43"/>
      <c r="V37" s="60"/>
      <c r="AI37" s="60"/>
    </row>
    <row r="40" spans="2:35" x14ac:dyDescent="0.2">
      <c r="B40" s="31" t="s">
        <v>95</v>
      </c>
    </row>
    <row r="41" spans="2:35" s="2" customFormat="1" x14ac:dyDescent="0.2">
      <c r="B41" s="2" t="s">
        <v>6</v>
      </c>
      <c r="C41" s="34"/>
      <c r="D41" s="34"/>
      <c r="E41" s="34"/>
      <c r="F41" s="34"/>
      <c r="G41" s="34"/>
      <c r="H41" s="34"/>
      <c r="I41" s="34">
        <v>744</v>
      </c>
      <c r="J41" s="34"/>
      <c r="K41" s="34"/>
      <c r="L41" s="34"/>
      <c r="M41" s="34">
        <v>1393</v>
      </c>
      <c r="N41" s="34"/>
      <c r="O41" s="34">
        <v>1963</v>
      </c>
      <c r="P41" s="34">
        <v>1845</v>
      </c>
      <c r="Q41" s="34">
        <v>1339</v>
      </c>
      <c r="R41" s="34">
        <v>804</v>
      </c>
      <c r="S41" s="34">
        <v>551</v>
      </c>
      <c r="T41" s="34">
        <v>386</v>
      </c>
      <c r="U41" s="34">
        <v>351</v>
      </c>
      <c r="V41" s="55"/>
      <c r="AH41" s="34">
        <f>R41</f>
        <v>804</v>
      </c>
      <c r="AI41" s="55"/>
    </row>
    <row r="42" spans="2:35" s="2" customFormat="1" x14ac:dyDescent="0.2">
      <c r="B42" s="2" t="s">
        <v>96</v>
      </c>
      <c r="C42" s="34"/>
      <c r="D42" s="34"/>
      <c r="E42" s="34"/>
      <c r="F42" s="34"/>
      <c r="G42" s="34"/>
      <c r="H42" s="34"/>
      <c r="I42" s="34">
        <v>1304</v>
      </c>
      <c r="J42" s="34"/>
      <c r="K42" s="34"/>
      <c r="L42" s="34"/>
      <c r="M42" s="34">
        <v>1193</v>
      </c>
      <c r="N42" s="34"/>
      <c r="O42" s="34">
        <v>1021</v>
      </c>
      <c r="P42" s="34">
        <v>1081</v>
      </c>
      <c r="Q42" s="34">
        <v>1301</v>
      </c>
      <c r="R42" s="34">
        <v>1266</v>
      </c>
      <c r="S42" s="34">
        <v>1401</v>
      </c>
      <c r="T42" s="34">
        <v>1644</v>
      </c>
      <c r="U42" s="34">
        <v>1685</v>
      </c>
      <c r="V42" s="55"/>
      <c r="AH42" s="34">
        <f>R42</f>
        <v>1266</v>
      </c>
      <c r="AI42" s="55"/>
    </row>
    <row r="43" spans="2:35" x14ac:dyDescent="0.2">
      <c r="B43" s="1" t="s">
        <v>97</v>
      </c>
      <c r="C43" s="35"/>
      <c r="D43" s="35"/>
      <c r="E43" s="35"/>
      <c r="F43" s="35"/>
      <c r="G43" s="35"/>
      <c r="H43" s="35"/>
      <c r="I43" s="35">
        <v>299</v>
      </c>
      <c r="J43" s="35"/>
      <c r="K43" s="35"/>
      <c r="L43" s="35"/>
      <c r="M43" s="35">
        <v>237</v>
      </c>
      <c r="N43" s="35"/>
      <c r="O43" s="35">
        <v>283</v>
      </c>
      <c r="P43" s="35">
        <v>252</v>
      </c>
      <c r="Q43" s="35">
        <v>253</v>
      </c>
      <c r="R43" s="35">
        <v>293</v>
      </c>
      <c r="S43" s="35">
        <v>281</v>
      </c>
      <c r="T43" s="35">
        <v>285</v>
      </c>
      <c r="U43" s="35">
        <v>302</v>
      </c>
      <c r="AH43" s="35">
        <f>R43</f>
        <v>293</v>
      </c>
    </row>
    <row r="44" spans="2:35" x14ac:dyDescent="0.2">
      <c r="B44" s="1" t="s">
        <v>98</v>
      </c>
      <c r="C44" s="35">
        <f t="shared" ref="C44:T44" si="99">SUM(C41:C43)</f>
        <v>0</v>
      </c>
      <c r="D44" s="35">
        <f t="shared" si="99"/>
        <v>0</v>
      </c>
      <c r="E44" s="35">
        <f t="shared" si="99"/>
        <v>0</v>
      </c>
      <c r="F44" s="35">
        <f t="shared" si="99"/>
        <v>0</v>
      </c>
      <c r="G44" s="35">
        <f t="shared" si="99"/>
        <v>0</v>
      </c>
      <c r="H44" s="35">
        <f t="shared" si="99"/>
        <v>0</v>
      </c>
      <c r="I44" s="35">
        <f t="shared" si="99"/>
        <v>2347</v>
      </c>
      <c r="J44" s="35">
        <f t="shared" si="99"/>
        <v>0</v>
      </c>
      <c r="K44" s="35">
        <f t="shared" si="99"/>
        <v>0</v>
      </c>
      <c r="L44" s="35">
        <f t="shared" si="99"/>
        <v>0</v>
      </c>
      <c r="M44" s="35">
        <f t="shared" si="99"/>
        <v>2823</v>
      </c>
      <c r="N44" s="35">
        <f t="shared" si="99"/>
        <v>0</v>
      </c>
      <c r="O44" s="35">
        <f t="shared" si="99"/>
        <v>3267</v>
      </c>
      <c r="P44" s="35">
        <f t="shared" si="99"/>
        <v>3178</v>
      </c>
      <c r="Q44" s="35">
        <f t="shared" si="99"/>
        <v>2893</v>
      </c>
      <c r="R44" s="35">
        <f>SUM(R41:R43)</f>
        <v>2363</v>
      </c>
      <c r="S44" s="35">
        <f t="shared" ref="S44" si="100">SUM(S41:S43)</f>
        <v>2233</v>
      </c>
      <c r="T44" s="35">
        <f t="shared" si="99"/>
        <v>2315</v>
      </c>
      <c r="U44" s="35">
        <f>SUM(U41:U43)</f>
        <v>2338</v>
      </c>
      <c r="AH44" s="35">
        <f>SUM(AH41:AH43)</f>
        <v>2363</v>
      </c>
    </row>
    <row r="45" spans="2:35" x14ac:dyDescent="0.2">
      <c r="B45" s="1" t="s">
        <v>99</v>
      </c>
      <c r="C45" s="35"/>
      <c r="D45" s="35"/>
      <c r="E45" s="35"/>
      <c r="F45" s="35"/>
      <c r="G45" s="35"/>
      <c r="H45" s="35"/>
      <c r="I45" s="35">
        <v>814</v>
      </c>
      <c r="J45" s="35"/>
      <c r="K45" s="35"/>
      <c r="L45" s="35"/>
      <c r="M45" s="35">
        <v>773</v>
      </c>
      <c r="N45" s="35"/>
      <c r="O45" s="35">
        <v>769</v>
      </c>
      <c r="P45" s="35">
        <v>743</v>
      </c>
      <c r="Q45" s="35">
        <v>860</v>
      </c>
      <c r="R45" s="35">
        <v>917</v>
      </c>
      <c r="S45" s="35">
        <v>899</v>
      </c>
      <c r="T45" s="35">
        <v>899</v>
      </c>
      <c r="U45" s="35">
        <v>897</v>
      </c>
      <c r="AH45" s="35">
        <f t="shared" ref="AH45:AH50" si="101">R45</f>
        <v>917</v>
      </c>
    </row>
    <row r="46" spans="2:35" x14ac:dyDescent="0.2">
      <c r="B46" s="1" t="s">
        <v>100</v>
      </c>
      <c r="C46" s="35"/>
      <c r="D46" s="35"/>
      <c r="E46" s="35"/>
      <c r="F46" s="35"/>
      <c r="G46" s="35"/>
      <c r="H46" s="35"/>
      <c r="I46" s="35">
        <v>2956</v>
      </c>
      <c r="J46" s="35"/>
      <c r="K46" s="35"/>
      <c r="L46" s="35"/>
      <c r="M46" s="35">
        <v>2752</v>
      </c>
      <c r="N46" s="35"/>
      <c r="O46" s="35">
        <v>2700</v>
      </c>
      <c r="P46" s="35">
        <v>2569</v>
      </c>
      <c r="Q46" s="35">
        <v>2619</v>
      </c>
      <c r="R46" s="35">
        <v>2616</v>
      </c>
      <c r="S46" s="35">
        <v>2566</v>
      </c>
      <c r="T46" s="35">
        <v>2526</v>
      </c>
      <c r="U46" s="35">
        <v>2449</v>
      </c>
      <c r="AH46" s="35">
        <f t="shared" si="101"/>
        <v>2616</v>
      </c>
    </row>
    <row r="47" spans="2:35" x14ac:dyDescent="0.2">
      <c r="B47" s="1" t="s">
        <v>101</v>
      </c>
      <c r="C47" s="35"/>
      <c r="D47" s="35"/>
      <c r="E47" s="35"/>
      <c r="F47" s="35"/>
      <c r="G47" s="35"/>
      <c r="H47" s="35"/>
      <c r="I47" s="35">
        <v>93</v>
      </c>
      <c r="J47" s="35"/>
      <c r="K47" s="35"/>
      <c r="L47" s="35"/>
      <c r="M47" s="35">
        <v>69</v>
      </c>
      <c r="N47" s="35"/>
      <c r="O47" s="35">
        <v>101</v>
      </c>
      <c r="P47" s="35">
        <v>108</v>
      </c>
      <c r="Q47" s="35">
        <v>95</v>
      </c>
      <c r="R47" s="35">
        <v>86</v>
      </c>
      <c r="S47" s="35">
        <v>79</v>
      </c>
      <c r="T47" s="35">
        <v>74</v>
      </c>
      <c r="U47" s="35">
        <v>65</v>
      </c>
      <c r="AH47" s="35">
        <f t="shared" si="101"/>
        <v>86</v>
      </c>
    </row>
    <row r="48" spans="2:35" x14ac:dyDescent="0.2">
      <c r="B48" s="1" t="s">
        <v>102</v>
      </c>
      <c r="C48" s="35"/>
      <c r="D48" s="35"/>
      <c r="E48" s="35"/>
      <c r="F48" s="35"/>
      <c r="G48" s="35"/>
      <c r="H48" s="35"/>
      <c r="I48" s="35">
        <f>156+21</f>
        <v>177</v>
      </c>
      <c r="J48" s="35"/>
      <c r="K48" s="35"/>
      <c r="L48" s="35"/>
      <c r="M48" s="35">
        <f>158+18</f>
        <v>176</v>
      </c>
      <c r="N48" s="35"/>
      <c r="O48" s="35">
        <f>159+16</f>
        <v>175</v>
      </c>
      <c r="P48" s="35">
        <f>158+16</f>
        <v>174</v>
      </c>
      <c r="Q48" s="35">
        <f>651+235</f>
        <v>886</v>
      </c>
      <c r="R48" s="35">
        <f>797+454</f>
        <v>1251</v>
      </c>
      <c r="S48" s="35">
        <f>783+441</f>
        <v>1224</v>
      </c>
      <c r="T48" s="35">
        <f>773+432</f>
        <v>1205</v>
      </c>
      <c r="U48" s="35">
        <f>764+424</f>
        <v>1188</v>
      </c>
      <c r="AH48" s="35">
        <f t="shared" si="101"/>
        <v>1251</v>
      </c>
    </row>
    <row r="49" spans="2:35" x14ac:dyDescent="0.2">
      <c r="B49" s="1" t="s">
        <v>103</v>
      </c>
      <c r="C49" s="35"/>
      <c r="D49" s="35"/>
      <c r="E49" s="35"/>
      <c r="F49" s="35"/>
      <c r="G49" s="35"/>
      <c r="H49" s="35"/>
      <c r="I49" s="35">
        <v>151</v>
      </c>
      <c r="J49" s="35"/>
      <c r="K49" s="35"/>
      <c r="L49" s="35"/>
      <c r="M49" s="35">
        <v>340</v>
      </c>
      <c r="N49" s="35"/>
      <c r="O49" s="35">
        <v>342</v>
      </c>
      <c r="P49" s="35">
        <v>728</v>
      </c>
      <c r="Q49" s="35">
        <v>762</v>
      </c>
      <c r="R49" s="35">
        <v>781</v>
      </c>
      <c r="S49" s="35">
        <v>759</v>
      </c>
      <c r="T49" s="35">
        <v>736</v>
      </c>
      <c r="U49" s="35">
        <v>722</v>
      </c>
      <c r="AH49" s="35">
        <f t="shared" si="101"/>
        <v>781</v>
      </c>
    </row>
    <row r="50" spans="2:35" x14ac:dyDescent="0.2">
      <c r="B50" s="1" t="s">
        <v>104</v>
      </c>
      <c r="C50" s="35"/>
      <c r="D50" s="35"/>
      <c r="E50" s="35"/>
      <c r="F50" s="35"/>
      <c r="G50" s="35"/>
      <c r="H50" s="35"/>
      <c r="I50" s="35">
        <v>83</v>
      </c>
      <c r="J50" s="35"/>
      <c r="K50" s="35"/>
      <c r="L50" s="35"/>
      <c r="M50" s="35">
        <v>85</v>
      </c>
      <c r="N50" s="35"/>
      <c r="O50" s="35">
        <v>88</v>
      </c>
      <c r="P50" s="35">
        <v>85</v>
      </c>
      <c r="Q50" s="35">
        <v>96</v>
      </c>
      <c r="R50" s="35">
        <v>121</v>
      </c>
      <c r="S50" s="35">
        <v>118</v>
      </c>
      <c r="T50" s="35">
        <v>113</v>
      </c>
      <c r="U50" s="35">
        <v>103</v>
      </c>
      <c r="AH50" s="35">
        <f t="shared" si="101"/>
        <v>121</v>
      </c>
    </row>
    <row r="51" spans="2:35" x14ac:dyDescent="0.2">
      <c r="B51" s="1" t="s">
        <v>105</v>
      </c>
      <c r="C51" s="35">
        <f t="shared" ref="C51:T51" si="102">SUM(C45:C50)+C44</f>
        <v>0</v>
      </c>
      <c r="D51" s="35">
        <f t="shared" si="102"/>
        <v>0</v>
      </c>
      <c r="E51" s="35">
        <f t="shared" si="102"/>
        <v>0</v>
      </c>
      <c r="F51" s="35">
        <f t="shared" si="102"/>
        <v>0</v>
      </c>
      <c r="G51" s="35">
        <f t="shared" si="102"/>
        <v>0</v>
      </c>
      <c r="H51" s="35">
        <f t="shared" si="102"/>
        <v>0</v>
      </c>
      <c r="I51" s="35">
        <f t="shared" si="102"/>
        <v>6621</v>
      </c>
      <c r="J51" s="35">
        <f t="shared" si="102"/>
        <v>0</v>
      </c>
      <c r="K51" s="35">
        <f t="shared" si="102"/>
        <v>0</v>
      </c>
      <c r="L51" s="35">
        <f t="shared" si="102"/>
        <v>0</v>
      </c>
      <c r="M51" s="35">
        <f t="shared" si="102"/>
        <v>7018</v>
      </c>
      <c r="N51" s="35">
        <f t="shared" si="102"/>
        <v>0</v>
      </c>
      <c r="O51" s="35">
        <f t="shared" si="102"/>
        <v>7442</v>
      </c>
      <c r="P51" s="35">
        <f t="shared" si="102"/>
        <v>7585</v>
      </c>
      <c r="Q51" s="35">
        <f t="shared" si="102"/>
        <v>8211</v>
      </c>
      <c r="R51" s="35">
        <f>SUM(R45:R50)+R44</f>
        <v>8135</v>
      </c>
      <c r="S51" s="35">
        <f t="shared" ref="S51" si="103">SUM(S45:S50)+S44</f>
        <v>7878</v>
      </c>
      <c r="T51" s="35">
        <f t="shared" si="102"/>
        <v>7868</v>
      </c>
      <c r="U51" s="35">
        <f>SUM(U45:U50)+U44</f>
        <v>7762</v>
      </c>
      <c r="AH51" s="35">
        <f>SUM(AH45:AH50)+AH44</f>
        <v>8135</v>
      </c>
    </row>
    <row r="53" spans="2:35" x14ac:dyDescent="0.2">
      <c r="B53" s="1" t="s">
        <v>106</v>
      </c>
      <c r="C53" s="35"/>
      <c r="D53" s="35"/>
      <c r="E53" s="35"/>
      <c r="F53" s="35"/>
      <c r="G53" s="35"/>
      <c r="H53" s="35"/>
      <c r="I53" s="35">
        <v>396</v>
      </c>
      <c r="J53" s="35"/>
      <c r="K53" s="35"/>
      <c r="L53" s="35"/>
      <c r="M53" s="35">
        <v>514</v>
      </c>
      <c r="N53" s="35"/>
      <c r="O53" s="35">
        <v>658</v>
      </c>
      <c r="P53" s="35">
        <v>539</v>
      </c>
      <c r="Q53" s="35">
        <v>578</v>
      </c>
      <c r="R53" s="35">
        <v>596</v>
      </c>
      <c r="S53" s="35">
        <v>565</v>
      </c>
      <c r="T53" s="35">
        <v>596</v>
      </c>
      <c r="U53" s="35">
        <v>522</v>
      </c>
      <c r="AH53" s="35">
        <f t="shared" ref="AH53:AH54" si="104">R53</f>
        <v>596</v>
      </c>
    </row>
    <row r="54" spans="2:35" x14ac:dyDescent="0.2">
      <c r="B54" s="1" t="s">
        <v>107</v>
      </c>
      <c r="C54" s="35"/>
      <c r="D54" s="35"/>
      <c r="E54" s="35"/>
      <c r="F54" s="35"/>
      <c r="G54" s="35"/>
      <c r="H54" s="35"/>
      <c r="I54" s="35">
        <v>333</v>
      </c>
      <c r="J54" s="35"/>
      <c r="K54" s="35"/>
      <c r="L54" s="35"/>
      <c r="M54" s="35">
        <v>451</v>
      </c>
      <c r="N54" s="35"/>
      <c r="O54" s="35">
        <v>572</v>
      </c>
      <c r="P54" s="35">
        <v>474</v>
      </c>
      <c r="Q54" s="35">
        <v>498</v>
      </c>
      <c r="R54" s="35">
        <v>561</v>
      </c>
      <c r="S54" s="35">
        <v>428</v>
      </c>
      <c r="T54" s="35">
        <v>435</v>
      </c>
      <c r="U54" s="35">
        <v>455</v>
      </c>
      <c r="AH54" s="35">
        <f t="shared" si="104"/>
        <v>561</v>
      </c>
    </row>
    <row r="55" spans="2:35" s="2" customFormat="1" x14ac:dyDescent="0.2">
      <c r="B55" s="2" t="s">
        <v>108</v>
      </c>
      <c r="C55" s="34"/>
      <c r="D55" s="34"/>
      <c r="E55" s="34"/>
      <c r="F55" s="34"/>
      <c r="G55" s="34"/>
      <c r="H55" s="34"/>
      <c r="I55" s="34">
        <v>0</v>
      </c>
      <c r="J55" s="34"/>
      <c r="K55" s="34"/>
      <c r="L55" s="34"/>
      <c r="M55" s="34">
        <v>2</v>
      </c>
      <c r="N55" s="34"/>
      <c r="O55" s="34">
        <v>101</v>
      </c>
      <c r="P55" s="34">
        <v>102</v>
      </c>
      <c r="Q55" s="34">
        <v>104</v>
      </c>
      <c r="R55" s="34">
        <v>6</v>
      </c>
      <c r="S55" s="34">
        <v>6</v>
      </c>
      <c r="T55" s="34">
        <v>6</v>
      </c>
      <c r="U55" s="34">
        <v>6</v>
      </c>
      <c r="V55" s="55"/>
      <c r="AH55" s="34">
        <f>R55</f>
        <v>6</v>
      </c>
      <c r="AI55" s="55"/>
    </row>
    <row r="56" spans="2:35" x14ac:dyDescent="0.2">
      <c r="B56" s="1" t="s">
        <v>109</v>
      </c>
      <c r="C56" s="35"/>
      <c r="D56" s="35"/>
      <c r="E56" s="35"/>
      <c r="F56" s="35"/>
      <c r="G56" s="35"/>
      <c r="H56" s="35"/>
      <c r="I56" s="35">
        <v>508</v>
      </c>
      <c r="J56" s="35"/>
      <c r="K56" s="35"/>
      <c r="L56" s="35"/>
      <c r="M56" s="35">
        <v>575</v>
      </c>
      <c r="N56" s="35"/>
      <c r="O56" s="35">
        <v>582</v>
      </c>
      <c r="P56" s="35">
        <v>566</v>
      </c>
      <c r="Q56" s="35">
        <v>577</v>
      </c>
      <c r="R56" s="35">
        <v>572</v>
      </c>
      <c r="S56" s="35">
        <v>557</v>
      </c>
      <c r="T56" s="35">
        <v>548</v>
      </c>
      <c r="U56" s="35">
        <v>539</v>
      </c>
      <c r="AH56" s="35">
        <f>R56</f>
        <v>572</v>
      </c>
    </row>
    <row r="57" spans="2:35" x14ac:dyDescent="0.2">
      <c r="B57" s="1" t="s">
        <v>110</v>
      </c>
      <c r="C57" s="35">
        <f t="shared" ref="C57:T57" si="105">SUM(C53:C56)</f>
        <v>0</v>
      </c>
      <c r="D57" s="35">
        <f t="shared" si="105"/>
        <v>0</v>
      </c>
      <c r="E57" s="35">
        <f t="shared" si="105"/>
        <v>0</v>
      </c>
      <c r="F57" s="35">
        <f t="shared" si="105"/>
        <v>0</v>
      </c>
      <c r="G57" s="35">
        <f t="shared" si="105"/>
        <v>0</v>
      </c>
      <c r="H57" s="35">
        <f t="shared" si="105"/>
        <v>0</v>
      </c>
      <c r="I57" s="35">
        <f t="shared" si="105"/>
        <v>1237</v>
      </c>
      <c r="J57" s="35">
        <f t="shared" si="105"/>
        <v>0</v>
      </c>
      <c r="K57" s="35">
        <f t="shared" si="105"/>
        <v>0</v>
      </c>
      <c r="L57" s="35">
        <f t="shared" si="105"/>
        <v>0</v>
      </c>
      <c r="M57" s="35">
        <f t="shared" si="105"/>
        <v>1542</v>
      </c>
      <c r="N57" s="35">
        <f t="shared" si="105"/>
        <v>0</v>
      </c>
      <c r="O57" s="35">
        <f t="shared" si="105"/>
        <v>1913</v>
      </c>
      <c r="P57" s="35">
        <f t="shared" si="105"/>
        <v>1681</v>
      </c>
      <c r="Q57" s="35">
        <f t="shared" si="105"/>
        <v>1757</v>
      </c>
      <c r="R57" s="35">
        <f>SUM(R53:R56)</f>
        <v>1735</v>
      </c>
      <c r="S57" s="35">
        <f t="shared" ref="S57" si="106">SUM(S53:S56)</f>
        <v>1556</v>
      </c>
      <c r="T57" s="35">
        <f t="shared" si="105"/>
        <v>1585</v>
      </c>
      <c r="U57" s="35">
        <f>SUM(U53:U56)</f>
        <v>1522</v>
      </c>
      <c r="AH57" s="35">
        <f t="shared" ref="AH57" si="107">SUM(AH53:AH56)</f>
        <v>1735</v>
      </c>
    </row>
    <row r="58" spans="2:35" s="2" customFormat="1" x14ac:dyDescent="0.2">
      <c r="B58" s="2" t="s">
        <v>111</v>
      </c>
      <c r="C58" s="34"/>
      <c r="D58" s="34"/>
      <c r="E58" s="34"/>
      <c r="F58" s="34"/>
      <c r="G58" s="34"/>
      <c r="H58" s="34"/>
      <c r="I58" s="34">
        <v>122</v>
      </c>
      <c r="J58" s="34"/>
      <c r="K58" s="34"/>
      <c r="L58" s="34"/>
      <c r="M58" s="34">
        <v>129</v>
      </c>
      <c r="N58" s="34"/>
      <c r="O58" s="34">
        <v>8</v>
      </c>
      <c r="P58" s="34">
        <v>10</v>
      </c>
      <c r="Q58" s="34">
        <v>456</v>
      </c>
      <c r="R58" s="34">
        <v>451</v>
      </c>
      <c r="S58" s="34">
        <v>450</v>
      </c>
      <c r="T58" s="34">
        <v>449</v>
      </c>
      <c r="U58" s="34">
        <v>448</v>
      </c>
      <c r="V58" s="55"/>
      <c r="AH58" s="34">
        <f>R58</f>
        <v>451</v>
      </c>
      <c r="AI58" s="55"/>
    </row>
    <row r="59" spans="2:35" x14ac:dyDescent="0.2">
      <c r="B59" s="1" t="s">
        <v>112</v>
      </c>
      <c r="C59" s="35"/>
      <c r="D59" s="35"/>
      <c r="E59" s="35"/>
      <c r="F59" s="35"/>
      <c r="G59" s="35"/>
      <c r="H59" s="35"/>
      <c r="I59" s="35">
        <v>2179</v>
      </c>
      <c r="J59" s="35"/>
      <c r="K59" s="35"/>
      <c r="L59" s="35"/>
      <c r="M59" s="35">
        <v>2514</v>
      </c>
      <c r="N59" s="35"/>
      <c r="O59" s="35">
        <v>2470</v>
      </c>
      <c r="P59" s="35">
        <v>2363</v>
      </c>
      <c r="Q59" s="35">
        <v>2421</v>
      </c>
      <c r="R59" s="35">
        <v>2363</v>
      </c>
      <c r="S59" s="35">
        <v>2323</v>
      </c>
      <c r="T59" s="35">
        <v>2287</v>
      </c>
      <c r="U59" s="35">
        <v>2212</v>
      </c>
      <c r="AH59" s="35">
        <f t="shared" ref="AH59:AH60" si="108">R59</f>
        <v>2363</v>
      </c>
    </row>
    <row r="60" spans="2:35" x14ac:dyDescent="0.2">
      <c r="B60" s="1" t="s">
        <v>113</v>
      </c>
      <c r="C60" s="35"/>
      <c r="D60" s="35"/>
      <c r="E60" s="35"/>
      <c r="F60" s="35"/>
      <c r="G60" s="35"/>
      <c r="H60" s="35"/>
      <c r="I60" s="35">
        <v>116</v>
      </c>
      <c r="J60" s="35"/>
      <c r="K60" s="35"/>
      <c r="L60" s="35"/>
      <c r="M60" s="35">
        <v>181</v>
      </c>
      <c r="N60" s="35"/>
      <c r="O60" s="35">
        <v>121</v>
      </c>
      <c r="P60" s="35">
        <v>190</v>
      </c>
      <c r="Q60" s="35">
        <v>235</v>
      </c>
      <c r="R60" s="35">
        <v>343</v>
      </c>
      <c r="S60" s="35">
        <v>334</v>
      </c>
      <c r="T60" s="35">
        <v>330</v>
      </c>
      <c r="U60" s="35">
        <v>321</v>
      </c>
      <c r="AH60" s="35">
        <f t="shared" si="108"/>
        <v>343</v>
      </c>
    </row>
    <row r="61" spans="2:35" x14ac:dyDescent="0.2">
      <c r="B61" s="1" t="s">
        <v>114</v>
      </c>
      <c r="C61" s="35">
        <f t="shared" ref="C61:T61" si="109">SUM(C58:C60)+C57</f>
        <v>0</v>
      </c>
      <c r="D61" s="35">
        <f t="shared" si="109"/>
        <v>0</v>
      </c>
      <c r="E61" s="35">
        <f t="shared" si="109"/>
        <v>0</v>
      </c>
      <c r="F61" s="35">
        <f t="shared" si="109"/>
        <v>0</v>
      </c>
      <c r="G61" s="35">
        <f t="shared" si="109"/>
        <v>0</v>
      </c>
      <c r="H61" s="35">
        <f t="shared" si="109"/>
        <v>0</v>
      </c>
      <c r="I61" s="35">
        <f t="shared" si="109"/>
        <v>3654</v>
      </c>
      <c r="J61" s="35">
        <f t="shared" si="109"/>
        <v>0</v>
      </c>
      <c r="K61" s="35">
        <f t="shared" si="109"/>
        <v>0</v>
      </c>
      <c r="L61" s="35">
        <f t="shared" si="109"/>
        <v>0</v>
      </c>
      <c r="M61" s="35">
        <f t="shared" si="109"/>
        <v>4366</v>
      </c>
      <c r="N61" s="35">
        <f t="shared" si="109"/>
        <v>0</v>
      </c>
      <c r="O61" s="35">
        <f t="shared" si="109"/>
        <v>4512</v>
      </c>
      <c r="P61" s="35">
        <f t="shared" si="109"/>
        <v>4244</v>
      </c>
      <c r="Q61" s="35">
        <f t="shared" si="109"/>
        <v>4869</v>
      </c>
      <c r="R61" s="35">
        <f>SUM(R58:R60)+R57</f>
        <v>4892</v>
      </c>
      <c r="S61" s="35">
        <f t="shared" ref="S61" si="110">SUM(S58:S60)+S57</f>
        <v>4663</v>
      </c>
      <c r="T61" s="35">
        <f t="shared" si="109"/>
        <v>4651</v>
      </c>
      <c r="U61" s="35">
        <f>SUM(U58:U60)+U57</f>
        <v>4503</v>
      </c>
      <c r="AH61" s="35">
        <f t="shared" ref="AH61" si="111">SUM(AH58:AH60)+AH57</f>
        <v>4892</v>
      </c>
    </row>
    <row r="63" spans="2:35" x14ac:dyDescent="0.2">
      <c r="B63" s="1" t="s">
        <v>115</v>
      </c>
      <c r="I63" s="1">
        <v>2427</v>
      </c>
      <c r="M63" s="1">
        <v>2652</v>
      </c>
      <c r="O63" s="1">
        <v>2930</v>
      </c>
      <c r="P63" s="1">
        <v>3341</v>
      </c>
      <c r="Q63" s="35">
        <v>3342</v>
      </c>
      <c r="R63" s="35">
        <v>3243</v>
      </c>
      <c r="S63" s="1">
        <v>3215</v>
      </c>
      <c r="T63" s="1">
        <v>3217</v>
      </c>
      <c r="U63" s="35">
        <v>3259</v>
      </c>
      <c r="AH63" s="35">
        <f>R63</f>
        <v>3243</v>
      </c>
    </row>
    <row r="64" spans="2:35" x14ac:dyDescent="0.2">
      <c r="B64" s="1" t="s">
        <v>116</v>
      </c>
      <c r="C64" s="35">
        <f t="shared" ref="C64:T64" si="112">C63+C61</f>
        <v>0</v>
      </c>
      <c r="D64" s="35">
        <f t="shared" si="112"/>
        <v>0</v>
      </c>
      <c r="E64" s="35">
        <f t="shared" si="112"/>
        <v>0</v>
      </c>
      <c r="F64" s="35">
        <f t="shared" si="112"/>
        <v>0</v>
      </c>
      <c r="G64" s="35">
        <f t="shared" si="112"/>
        <v>0</v>
      </c>
      <c r="H64" s="35">
        <f t="shared" si="112"/>
        <v>0</v>
      </c>
      <c r="I64" s="35">
        <f t="shared" si="112"/>
        <v>6081</v>
      </c>
      <c r="J64" s="35">
        <f t="shared" si="112"/>
        <v>0</v>
      </c>
      <c r="K64" s="35">
        <f t="shared" si="112"/>
        <v>0</v>
      </c>
      <c r="L64" s="35">
        <f t="shared" si="112"/>
        <v>0</v>
      </c>
      <c r="M64" s="35">
        <f t="shared" si="112"/>
        <v>7018</v>
      </c>
      <c r="N64" s="35">
        <f t="shared" si="112"/>
        <v>0</v>
      </c>
      <c r="O64" s="35">
        <f t="shared" si="112"/>
        <v>7442</v>
      </c>
      <c r="P64" s="35">
        <f t="shared" si="112"/>
        <v>7585</v>
      </c>
      <c r="Q64" s="35">
        <f t="shared" si="112"/>
        <v>8211</v>
      </c>
      <c r="R64" s="35">
        <f>R63+R61</f>
        <v>8135</v>
      </c>
      <c r="S64" s="35">
        <f t="shared" ref="S64" si="113">S63+S61</f>
        <v>7878</v>
      </c>
      <c r="T64" s="35">
        <f t="shared" si="112"/>
        <v>7868</v>
      </c>
      <c r="U64" s="35">
        <f>U63+U61</f>
        <v>7762</v>
      </c>
      <c r="AH64" s="35">
        <f t="shared" ref="AH64" si="114">AH63+AH61</f>
        <v>8135</v>
      </c>
    </row>
    <row r="66" spans="2:35" x14ac:dyDescent="0.2">
      <c r="B66" s="1" t="s">
        <v>117</v>
      </c>
      <c r="I66" s="35">
        <f t="shared" ref="I66" si="115">I51-I61</f>
        <v>2967</v>
      </c>
      <c r="M66" s="35">
        <f t="shared" ref="M66:O66" si="116">M51-M61</f>
        <v>2652</v>
      </c>
      <c r="O66" s="35">
        <f t="shared" si="116"/>
        <v>2930</v>
      </c>
      <c r="P66" s="35">
        <f t="shared" ref="P66" si="117">P51-P61</f>
        <v>3341</v>
      </c>
      <c r="Q66" s="35">
        <f>Q51-Q61</f>
        <v>3342</v>
      </c>
      <c r="R66" s="35">
        <f>R51-R61</f>
        <v>3243</v>
      </c>
      <c r="S66" s="35">
        <f t="shared" ref="S66" si="118">S51-S61</f>
        <v>3215</v>
      </c>
      <c r="T66" s="35">
        <f t="shared" ref="T66" si="119">T51-T61</f>
        <v>3217</v>
      </c>
      <c r="U66" s="35">
        <f>U51-U61</f>
        <v>3259</v>
      </c>
      <c r="AH66" s="35">
        <f>AH51-AH61</f>
        <v>3243</v>
      </c>
    </row>
    <row r="67" spans="2:35" x14ac:dyDescent="0.2">
      <c r="B67" s="1" t="s">
        <v>118</v>
      </c>
      <c r="I67" s="1">
        <f t="shared" ref="I67" si="120">I66/I19</f>
        <v>27.754911131898968</v>
      </c>
      <c r="M67" s="1">
        <f t="shared" ref="M67:O67" si="121">M66/M19</f>
        <v>25.402298850574713</v>
      </c>
      <c r="O67" s="1">
        <f t="shared" si="121"/>
        <v>28.281853281853284</v>
      </c>
      <c r="P67" s="1">
        <f t="shared" ref="P67" si="122">P66/P19</f>
        <v>32.186897880539497</v>
      </c>
      <c r="Q67" s="1">
        <f>Q66/Q19</f>
        <v>32.383720930232556</v>
      </c>
      <c r="R67" s="1">
        <f t="shared" ref="R67:S67" si="123">R66/R19</f>
        <v>31.639024390243904</v>
      </c>
      <c r="S67" s="1">
        <f t="shared" si="123"/>
        <v>33.454734651404792</v>
      </c>
      <c r="T67" s="1">
        <f t="shared" ref="T67" si="124">T66/T19</f>
        <v>34.187035069075456</v>
      </c>
      <c r="U67" s="1">
        <f>U66/U19</f>
        <v>34.892933618843678</v>
      </c>
      <c r="AH67" s="1">
        <f>AH66/AH19</f>
        <v>31.639024390243904</v>
      </c>
    </row>
    <row r="69" spans="2:35" s="32" customFormat="1" x14ac:dyDescent="0.2">
      <c r="B69" s="32" t="s">
        <v>6</v>
      </c>
      <c r="C69" s="37">
        <f t="shared" ref="C69:T69" si="125">C41</f>
        <v>0</v>
      </c>
      <c r="D69" s="37">
        <f t="shared" si="125"/>
        <v>0</v>
      </c>
      <c r="E69" s="37">
        <f t="shared" si="125"/>
        <v>0</v>
      </c>
      <c r="F69" s="37">
        <f t="shared" si="125"/>
        <v>0</v>
      </c>
      <c r="G69" s="37">
        <f t="shared" si="125"/>
        <v>0</v>
      </c>
      <c r="H69" s="37">
        <f t="shared" si="125"/>
        <v>0</v>
      </c>
      <c r="I69" s="37">
        <f t="shared" si="125"/>
        <v>744</v>
      </c>
      <c r="J69" s="37">
        <f t="shared" si="125"/>
        <v>0</v>
      </c>
      <c r="K69" s="37">
        <f t="shared" si="125"/>
        <v>0</v>
      </c>
      <c r="L69" s="37">
        <f t="shared" si="125"/>
        <v>0</v>
      </c>
      <c r="M69" s="37">
        <f t="shared" si="125"/>
        <v>1393</v>
      </c>
      <c r="N69" s="37">
        <f t="shared" si="125"/>
        <v>0</v>
      </c>
      <c r="O69" s="37">
        <f t="shared" si="125"/>
        <v>1963</v>
      </c>
      <c r="P69" s="37">
        <f t="shared" si="125"/>
        <v>1845</v>
      </c>
      <c r="Q69" s="37">
        <f t="shared" si="125"/>
        <v>1339</v>
      </c>
      <c r="R69" s="37">
        <f>R41</f>
        <v>804</v>
      </c>
      <c r="S69" s="37">
        <f t="shared" ref="S69" si="126">S41</f>
        <v>551</v>
      </c>
      <c r="T69" s="37">
        <f t="shared" si="125"/>
        <v>386</v>
      </c>
      <c r="U69" s="37">
        <f>U41</f>
        <v>351</v>
      </c>
      <c r="V69" s="54"/>
      <c r="AH69" s="37">
        <f>AH41</f>
        <v>804</v>
      </c>
      <c r="AI69" s="54"/>
    </row>
    <row r="70" spans="2:35" s="32" customFormat="1" x14ac:dyDescent="0.2">
      <c r="B70" s="32" t="s">
        <v>7</v>
      </c>
      <c r="C70" s="37">
        <f t="shared" ref="C70:T70" si="127">C55+C58</f>
        <v>0</v>
      </c>
      <c r="D70" s="37">
        <f t="shared" si="127"/>
        <v>0</v>
      </c>
      <c r="E70" s="37">
        <f t="shared" si="127"/>
        <v>0</v>
      </c>
      <c r="F70" s="37">
        <f t="shared" si="127"/>
        <v>0</v>
      </c>
      <c r="G70" s="37">
        <f t="shared" si="127"/>
        <v>0</v>
      </c>
      <c r="H70" s="37">
        <f t="shared" si="127"/>
        <v>0</v>
      </c>
      <c r="I70" s="37">
        <f t="shared" si="127"/>
        <v>122</v>
      </c>
      <c r="J70" s="37">
        <f t="shared" si="127"/>
        <v>0</v>
      </c>
      <c r="K70" s="37">
        <f t="shared" si="127"/>
        <v>0</v>
      </c>
      <c r="L70" s="37">
        <f t="shared" si="127"/>
        <v>0</v>
      </c>
      <c r="M70" s="37">
        <f t="shared" si="127"/>
        <v>131</v>
      </c>
      <c r="N70" s="37">
        <f t="shared" si="127"/>
        <v>0</v>
      </c>
      <c r="O70" s="37">
        <f t="shared" si="127"/>
        <v>109</v>
      </c>
      <c r="P70" s="37">
        <f t="shared" si="127"/>
        <v>112</v>
      </c>
      <c r="Q70" s="37">
        <f t="shared" si="127"/>
        <v>560</v>
      </c>
      <c r="R70" s="37">
        <f>R55+R58</f>
        <v>457</v>
      </c>
      <c r="S70" s="37">
        <f t="shared" ref="S70" si="128">S55+S58</f>
        <v>456</v>
      </c>
      <c r="T70" s="37">
        <f t="shared" si="127"/>
        <v>455</v>
      </c>
      <c r="U70" s="37">
        <f>U55+U58</f>
        <v>454</v>
      </c>
      <c r="V70" s="54"/>
      <c r="AH70" s="37">
        <f>AH55+AH58</f>
        <v>457</v>
      </c>
      <c r="AI70" s="54"/>
    </row>
    <row r="71" spans="2:35" x14ac:dyDescent="0.2">
      <c r="B71" s="1" t="s">
        <v>8</v>
      </c>
      <c r="C71" s="35">
        <f t="shared" ref="C71:T71" si="129">C69-C70</f>
        <v>0</v>
      </c>
      <c r="D71" s="35">
        <f t="shared" si="129"/>
        <v>0</v>
      </c>
      <c r="E71" s="35">
        <f t="shared" si="129"/>
        <v>0</v>
      </c>
      <c r="F71" s="35">
        <f t="shared" si="129"/>
        <v>0</v>
      </c>
      <c r="G71" s="35">
        <f t="shared" si="129"/>
        <v>0</v>
      </c>
      <c r="H71" s="35">
        <f t="shared" si="129"/>
        <v>0</v>
      </c>
      <c r="I71" s="35">
        <f t="shared" si="129"/>
        <v>622</v>
      </c>
      <c r="J71" s="35">
        <f t="shared" si="129"/>
        <v>0</v>
      </c>
      <c r="K71" s="35">
        <f t="shared" si="129"/>
        <v>0</v>
      </c>
      <c r="L71" s="35">
        <f t="shared" si="129"/>
        <v>0</v>
      </c>
      <c r="M71" s="35">
        <f t="shared" si="129"/>
        <v>1262</v>
      </c>
      <c r="N71" s="35">
        <f t="shared" si="129"/>
        <v>0</v>
      </c>
      <c r="O71" s="35">
        <f t="shared" si="129"/>
        <v>1854</v>
      </c>
      <c r="P71" s="35">
        <f t="shared" si="129"/>
        <v>1733</v>
      </c>
      <c r="Q71" s="35">
        <f t="shared" si="129"/>
        <v>779</v>
      </c>
      <c r="R71" s="35">
        <f>R69-R70</f>
        <v>347</v>
      </c>
      <c r="S71" s="35">
        <f t="shared" ref="S71" si="130">S69-S70</f>
        <v>95</v>
      </c>
      <c r="T71" s="35">
        <f t="shared" si="129"/>
        <v>-69</v>
      </c>
      <c r="U71" s="35">
        <f>U69-U70</f>
        <v>-103</v>
      </c>
      <c r="AH71" s="35">
        <f>AH69-AH70</f>
        <v>347</v>
      </c>
    </row>
    <row r="73" spans="2:35" x14ac:dyDescent="0.2">
      <c r="B73" s="2" t="s">
        <v>119</v>
      </c>
      <c r="M73" s="30">
        <f t="shared" ref="M73" si="131">M42/I42-1</f>
        <v>-8.5122699386503076E-2</v>
      </c>
      <c r="Q73" s="30">
        <f t="shared" ref="Q73:S73" si="132">Q42/M42-1</f>
        <v>9.0528080469404859E-2</v>
      </c>
      <c r="S73" s="30">
        <f t="shared" si="132"/>
        <v>0.37218413320274246</v>
      </c>
      <c r="T73" s="30">
        <f>T42/P42-1</f>
        <v>0.52081406105457906</v>
      </c>
      <c r="U73" s="30">
        <f>U42/Q42-1</f>
        <v>0.29515757109915453</v>
      </c>
    </row>
    <row r="74" spans="2:35" s="30" customFormat="1" x14ac:dyDescent="0.2">
      <c r="B74" s="30" t="s">
        <v>122</v>
      </c>
      <c r="P74" s="30">
        <f t="shared" ref="P74" si="133">P42/O42-1</f>
        <v>5.8765915768854038E-2</v>
      </c>
      <c r="Q74" s="30">
        <f>Q42/P42-1</f>
        <v>0.20351526364477346</v>
      </c>
      <c r="R74" s="30">
        <f>R42/Q42-1</f>
        <v>-2.6902382782475032E-2</v>
      </c>
      <c r="S74" s="30">
        <f t="shared" ref="S74:T74" si="134">S42/R42-1</f>
        <v>0.10663507109004744</v>
      </c>
      <c r="T74" s="30">
        <f t="shared" si="134"/>
        <v>0.17344753747323338</v>
      </c>
      <c r="U74" s="30">
        <f>U42/T42-1</f>
        <v>2.4939172749391725E-2</v>
      </c>
      <c r="V74" s="56"/>
      <c r="AI74" s="56"/>
    </row>
    <row r="75" spans="2:35" x14ac:dyDescent="0.2">
      <c r="B75" s="1" t="s">
        <v>120</v>
      </c>
      <c r="R75" s="30">
        <f t="shared" ref="R75:T75" si="135">R42/SUM(O6:R6)</f>
        <v>0.14132618888144674</v>
      </c>
      <c r="S75" s="30">
        <f t="shared" si="135"/>
        <v>0.15601336302895322</v>
      </c>
      <c r="T75" s="30">
        <f t="shared" si="135"/>
        <v>0.18745724059293045</v>
      </c>
      <c r="U75" s="30">
        <f>U42/SUM(R6:U6)</f>
        <v>0.19248343614347727</v>
      </c>
      <c r="AH75" s="30">
        <f>AH42/AH6</f>
        <v>0.14132618888144674</v>
      </c>
    </row>
    <row r="77" spans="2:35" x14ac:dyDescent="0.2">
      <c r="B77" s="28" t="s">
        <v>121</v>
      </c>
      <c r="O77" s="1">
        <v>59.07</v>
      </c>
      <c r="P77" s="1">
        <v>53.43</v>
      </c>
      <c r="Q77" s="1">
        <v>44.92</v>
      </c>
      <c r="R77" s="1">
        <v>42.16</v>
      </c>
      <c r="S77" s="38">
        <v>28.2</v>
      </c>
      <c r="T77" s="1">
        <v>27.74</v>
      </c>
      <c r="U77" s="38">
        <v>31.1</v>
      </c>
      <c r="AH77" s="1">
        <f>R77</f>
        <v>42.16</v>
      </c>
    </row>
    <row r="78" spans="2:35" x14ac:dyDescent="0.2">
      <c r="B78" s="1" t="s">
        <v>5</v>
      </c>
      <c r="O78" s="35">
        <f t="shared" ref="O78" si="136">O77*O19</f>
        <v>6119.652</v>
      </c>
      <c r="P78" s="35">
        <f t="shared" ref="P78" si="137">P77*P19</f>
        <v>5546.0339999999997</v>
      </c>
      <c r="Q78" s="35">
        <f>Q77*Q19</f>
        <v>4635.7440000000006</v>
      </c>
      <c r="R78" s="35">
        <f t="shared" ref="R78" si="138">R77*R19</f>
        <v>4321.3999999999996</v>
      </c>
      <c r="S78" s="35">
        <f t="shared" ref="S78" si="139">S77*S19</f>
        <v>2710.02</v>
      </c>
      <c r="T78" s="35">
        <f t="shared" ref="T78" si="140">T77*T19</f>
        <v>2610.3339999999998</v>
      </c>
      <c r="U78" s="35">
        <f>U77*U19</f>
        <v>2904.7400000000002</v>
      </c>
      <c r="AH78" s="35">
        <f>AH77*AH19</f>
        <v>4321.3999999999996</v>
      </c>
    </row>
    <row r="79" spans="2:35" x14ac:dyDescent="0.2">
      <c r="B79" s="1" t="s">
        <v>9</v>
      </c>
      <c r="O79" s="35">
        <f t="shared" ref="O79" si="141">O78-O71</f>
        <v>4265.652</v>
      </c>
      <c r="P79" s="35">
        <f t="shared" ref="P79" si="142">P78-P71</f>
        <v>3813.0339999999997</v>
      </c>
      <c r="Q79" s="35">
        <f>Q78-Q71</f>
        <v>3856.7440000000006</v>
      </c>
      <c r="R79" s="35">
        <f t="shared" ref="R79" si="143">R78-R71</f>
        <v>3974.3999999999996</v>
      </c>
      <c r="S79" s="35">
        <f t="shared" ref="S79" si="144">S78-S71</f>
        <v>2615.02</v>
      </c>
      <c r="T79" s="35">
        <f t="shared" ref="T79" si="145">T78-T71</f>
        <v>2679.3339999999998</v>
      </c>
      <c r="U79" s="35">
        <f>U78-U71</f>
        <v>3007.7400000000002</v>
      </c>
      <c r="AH79" s="35">
        <f>AH78-AH71</f>
        <v>3974.3999999999996</v>
      </c>
    </row>
    <row r="81" spans="2:35" s="33" customFormat="1" x14ac:dyDescent="0.2">
      <c r="B81" s="33" t="s">
        <v>22</v>
      </c>
      <c r="O81" s="33">
        <f t="shared" ref="O81" si="146">O77/O67</f>
        <v>2.0886184300341295</v>
      </c>
      <c r="P81" s="33">
        <f t="shared" ref="P81" si="147">P77/P67</f>
        <v>1.6599922178988327</v>
      </c>
      <c r="Q81" s="33">
        <f>Q77/Q67</f>
        <v>1.387116696588869</v>
      </c>
      <c r="R81" s="33">
        <f t="shared" ref="R81" si="148">R77/R67</f>
        <v>1.3325316065371569</v>
      </c>
      <c r="S81" s="33">
        <f t="shared" ref="S81" si="149">S77/S67</f>
        <v>0.84293001555209934</v>
      </c>
      <c r="T81" s="33">
        <f t="shared" ref="T81" si="150">T77/T67</f>
        <v>0.81141871308672664</v>
      </c>
      <c r="U81" s="33">
        <f>U77/U67</f>
        <v>0.8912979441546488</v>
      </c>
      <c r="V81" s="61"/>
      <c r="AH81" s="33">
        <f>AH77/AH67</f>
        <v>1.3325316065371569</v>
      </c>
      <c r="AI81" s="61"/>
    </row>
    <row r="82" spans="2:35" x14ac:dyDescent="0.2">
      <c r="B82" s="1" t="s">
        <v>23</v>
      </c>
      <c r="AH82" s="33">
        <f>AH78/AH6</f>
        <v>0.4824067872292922</v>
      </c>
    </row>
    <row r="83" spans="2:35" x14ac:dyDescent="0.2">
      <c r="B83" s="1" t="s">
        <v>24</v>
      </c>
      <c r="AH83" s="33">
        <f>AH79/AH6</f>
        <v>0.44367046215673139</v>
      </c>
    </row>
    <row r="84" spans="2:35" x14ac:dyDescent="0.2">
      <c r="B84" s="1" t="s">
        <v>25</v>
      </c>
      <c r="R84" s="33">
        <f t="shared" ref="R84:T84" si="151">R77/SUM(O18:R18)</f>
        <v>4.8917919939957191</v>
      </c>
      <c r="S84" s="33">
        <f t="shared" si="151"/>
        <v>3.5064679704443651</v>
      </c>
      <c r="T84" s="33">
        <f t="shared" si="151"/>
        <v>5.662800594373258</v>
      </c>
      <c r="U84" s="33">
        <f>U77/SUM(R18:U18)</f>
        <v>7.0754732383764916</v>
      </c>
      <c r="AH84" s="33">
        <f>AH77/AH18</f>
        <v>4.844618834080717</v>
      </c>
    </row>
    <row r="85" spans="2:35" x14ac:dyDescent="0.2">
      <c r="B85" s="1" t="s">
        <v>26</v>
      </c>
      <c r="AH85" s="33">
        <f>AH79/AH17</f>
        <v>4.4556053811659186</v>
      </c>
    </row>
    <row r="86" spans="2:35" x14ac:dyDescent="0.2">
      <c r="B86" s="1" t="s">
        <v>27</v>
      </c>
    </row>
  </sheetData>
  <hyperlinks>
    <hyperlink ref="U1" r:id="rId1" xr:uid="{6B414D2F-D385-4606-885B-483EBD5ABEBC}"/>
    <hyperlink ref="T1" r:id="rId2" xr:uid="{DB223C3E-D4D7-44AB-86EB-98F6D65A8C73}"/>
    <hyperlink ref="S1" r:id="rId3" xr:uid="{BC742AC0-9220-4959-A8E6-12B999B89343}"/>
    <hyperlink ref="R1" r:id="rId4" xr:uid="{6F70B379-E793-4F12-B06A-982457527E59}"/>
    <hyperlink ref="AH1" r:id="rId5" xr:uid="{38A8ED3A-2717-4FEA-BB5C-B793AAB5C38B}"/>
    <hyperlink ref="M1" r:id="rId6" xr:uid="{43A5C21D-F886-4FCB-A94B-86147CFAE126}"/>
    <hyperlink ref="L1" r:id="rId7" xr:uid="{9446438F-F601-4E14-BBC3-368E3CAEABAA}"/>
    <hyperlink ref="K1" r:id="rId8" xr:uid="{98932DF5-0820-4069-ACE8-E0B2BFF6C5E3}"/>
  </hyperlinks>
  <pageMargins left="0.7" right="0.7" top="0.75" bottom="0.75" header="0.3" footer="0.3"/>
  <pageSetup paperSize="256" orientation="portrait" horizontalDpi="203" verticalDpi="203" r:id="rId9"/>
  <ignoredErrors>
    <ignoredError sqref="R6:R17 V12 AI8:AI15 AI16:AI19 T44 T51:T68 AH59:AH64 AH57:AH58 AH44:AH56 AJ12 N6:N19" formula="1"/>
    <ignoredError sqref="AH8 AH15 AH12" formula="1" formulaRange="1"/>
    <ignoredError sqref="AH17" formulaRange="1"/>
  </ignoredErrors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2023-01-14T21:11:02Z</dcterms:created>
  <dcterms:modified xsi:type="dcterms:W3CDTF">2023-01-18T14:01:34Z</dcterms:modified>
</cp:coreProperties>
</file>