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/My Drive/Stocks/"/>
    </mc:Choice>
  </mc:AlternateContent>
  <xr:revisionPtr revIDLastSave="0" documentId="13_ncr:1_{30EA8D26-FF18-414F-9D01-920790EC1671}" xr6:coauthVersionLast="47" xr6:coauthVersionMax="47" xr10:uidLastSave="{00000000-0000-0000-0000-000000000000}"/>
  <bookViews>
    <workbookView xWindow="0" yWindow="500" windowWidth="33600" windowHeight="18900" activeTab="1" xr2:uid="{8FE4497E-8BD6-462D-BAEF-CC6752C949AC}"/>
  </bookViews>
  <sheets>
    <sheet name="Main" sheetId="1" r:id="rId1"/>
    <sheet name="Financial Model" sheetId="2" r:id="rId2"/>
    <sheet name="Historical Projection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0" i="1" l="1"/>
  <c r="C9" i="1"/>
  <c r="AJ81" i="2"/>
  <c r="AJ78" i="2"/>
  <c r="AJ75" i="2"/>
  <c r="AJ76" i="2" s="1"/>
  <c r="AJ71" i="2"/>
  <c r="AJ70" i="2"/>
  <c r="AJ72" i="2" s="1"/>
  <c r="AJ67" i="2"/>
  <c r="AJ68" i="2" s="1"/>
  <c r="AJ64" i="2"/>
  <c r="AJ61" i="2"/>
  <c r="AJ59" i="2"/>
  <c r="AJ58" i="2"/>
  <c r="AJ56" i="2"/>
  <c r="AJ55" i="2"/>
  <c r="AJ54" i="2"/>
  <c r="AJ53" i="2"/>
  <c r="AJ52" i="2"/>
  <c r="AJ51" i="2"/>
  <c r="AJ47" i="2"/>
  <c r="AJ46" i="2"/>
  <c r="AJ45" i="2"/>
  <c r="AJ44" i="2"/>
  <c r="AJ43" i="2"/>
  <c r="AJ42" i="2"/>
  <c r="AJ41" i="2"/>
  <c r="AJ39" i="2"/>
  <c r="AJ38" i="2"/>
  <c r="AJ37" i="2"/>
  <c r="AJ60" i="2"/>
  <c r="AJ50" i="2"/>
  <c r="AJ36" i="2"/>
  <c r="AJ35" i="2"/>
  <c r="AJ57" i="2"/>
  <c r="AJ40" i="2"/>
  <c r="AJ74" i="2"/>
  <c r="Z81" i="2"/>
  <c r="Z79" i="2"/>
  <c r="Z78" i="2"/>
  <c r="Z75" i="2"/>
  <c r="Z76" i="2" s="1"/>
  <c r="Z71" i="2"/>
  <c r="Z70" i="2"/>
  <c r="Z72" i="2" s="1"/>
  <c r="Z67" i="2"/>
  <c r="Z68" i="2" s="1"/>
  <c r="Z65" i="2"/>
  <c r="Z62" i="2"/>
  <c r="Z57" i="2"/>
  <c r="Z48" i="2"/>
  <c r="Z40" i="2"/>
  <c r="AJ3" i="2"/>
  <c r="AJ2" i="2"/>
  <c r="C7" i="1"/>
  <c r="Z25" i="2"/>
  <c r="Z24" i="2"/>
  <c r="AW30" i="2"/>
  <c r="AJ82" i="2" l="1"/>
  <c r="AJ80" i="2"/>
  <c r="AJ79" i="2"/>
  <c r="AJ48" i="2"/>
  <c r="AJ62" i="2"/>
  <c r="AJ65" i="2" s="1"/>
  <c r="AJ19" i="2"/>
  <c r="AJ14" i="2"/>
  <c r="AK22" i="2"/>
  <c r="AL22" i="2" s="1"/>
  <c r="AM22" i="2" s="1"/>
  <c r="AN22" i="2" s="1"/>
  <c r="AO22" i="2" s="1"/>
  <c r="AP22" i="2" s="1"/>
  <c r="AQ22" i="2" s="1"/>
  <c r="AR22" i="2" s="1"/>
  <c r="AS22" i="2" s="1"/>
  <c r="AT22" i="2" s="1"/>
  <c r="AJ17" i="2"/>
  <c r="AJ15" i="2"/>
  <c r="Z11" i="2"/>
  <c r="AJ11" i="2" s="1"/>
  <c r="AJ4" i="2"/>
  <c r="AK4" i="2" l="1"/>
  <c r="AJ5" i="2"/>
  <c r="AJ6" i="2" s="1"/>
  <c r="AJ27" i="2" s="1"/>
  <c r="Z6" i="2"/>
  <c r="Z27" i="2" s="1"/>
  <c r="AJ9" i="2"/>
  <c r="AJ8" i="2"/>
  <c r="AJ10" i="2"/>
  <c r="AC79" i="2"/>
  <c r="AD75" i="2"/>
  <c r="AD79" i="2" s="1"/>
  <c r="AC75" i="2"/>
  <c r="AD71" i="2"/>
  <c r="AC71" i="2"/>
  <c r="AD70" i="2"/>
  <c r="AD72" i="2" s="1"/>
  <c r="AC70" i="2"/>
  <c r="AC72" i="2" s="1"/>
  <c r="AC43" i="2"/>
  <c r="AD43" i="2"/>
  <c r="AC57" i="2"/>
  <c r="AC62" i="2" s="1"/>
  <c r="AC65" i="2" s="1"/>
  <c r="AC40" i="2"/>
  <c r="AD24" i="2"/>
  <c r="AD12" i="2"/>
  <c r="AC12" i="2"/>
  <c r="AD6" i="2"/>
  <c r="AD27" i="2" s="1"/>
  <c r="AC6" i="2"/>
  <c r="AC27" i="2" s="1"/>
  <c r="AF3" i="2"/>
  <c r="AE74" i="2"/>
  <c r="AE64" i="2"/>
  <c r="AE61" i="2"/>
  <c r="AE59" i="2"/>
  <c r="AE58" i="2"/>
  <c r="AE56" i="2"/>
  <c r="AE55" i="2"/>
  <c r="AE54" i="2"/>
  <c r="AE53" i="2"/>
  <c r="AE52" i="2"/>
  <c r="AE51" i="2"/>
  <c r="AE47" i="2"/>
  <c r="AE46" i="2"/>
  <c r="AE45" i="2"/>
  <c r="AE44" i="2"/>
  <c r="AE42" i="2"/>
  <c r="AE41" i="2"/>
  <c r="AE39" i="2"/>
  <c r="AE38" i="2"/>
  <c r="AE60" i="2"/>
  <c r="AE50" i="2"/>
  <c r="AE71" i="2" s="1"/>
  <c r="AE36" i="2"/>
  <c r="AE35" i="2"/>
  <c r="AF74" i="2"/>
  <c r="AE22" i="2"/>
  <c r="AF22" i="2"/>
  <c r="AF64" i="2"/>
  <c r="AF61" i="2"/>
  <c r="AF59" i="2"/>
  <c r="AF58" i="2"/>
  <c r="AF56" i="2"/>
  <c r="AF55" i="2"/>
  <c r="AF54" i="2"/>
  <c r="AF53" i="2"/>
  <c r="AF52" i="2"/>
  <c r="AF51" i="2"/>
  <c r="AF47" i="2"/>
  <c r="AF46" i="2"/>
  <c r="AF45" i="2"/>
  <c r="AF44" i="2"/>
  <c r="AF42" i="2"/>
  <c r="AF41" i="2"/>
  <c r="AF39" i="2"/>
  <c r="AF38" i="2"/>
  <c r="AF60" i="2"/>
  <c r="AF50" i="2"/>
  <c r="AF36" i="2"/>
  <c r="AF35" i="2"/>
  <c r="AF70" i="2" s="1"/>
  <c r="T75" i="2"/>
  <c r="T79" i="2" s="1"/>
  <c r="S75" i="2"/>
  <c r="S79" i="2" s="1"/>
  <c r="R75" i="2"/>
  <c r="R79" i="2" s="1"/>
  <c r="Q75" i="2"/>
  <c r="Q79" i="2" s="1"/>
  <c r="P75" i="2"/>
  <c r="P79" i="2" s="1"/>
  <c r="O75" i="2"/>
  <c r="O79" i="2" s="1"/>
  <c r="N75" i="2"/>
  <c r="N79" i="2" s="1"/>
  <c r="M75" i="2"/>
  <c r="M79" i="2" s="1"/>
  <c r="L75" i="2"/>
  <c r="L79" i="2" s="1"/>
  <c r="K75" i="2"/>
  <c r="K79" i="2" s="1"/>
  <c r="J75" i="2"/>
  <c r="J79" i="2" s="1"/>
  <c r="I75" i="2"/>
  <c r="I79" i="2" s="1"/>
  <c r="H75" i="2"/>
  <c r="G75" i="2"/>
  <c r="G79" i="2" s="1"/>
  <c r="F75" i="2"/>
  <c r="F79" i="2" s="1"/>
  <c r="E75" i="2"/>
  <c r="D75" i="2"/>
  <c r="C75" i="2"/>
  <c r="G43" i="2"/>
  <c r="M24" i="2"/>
  <c r="L24" i="2"/>
  <c r="K24" i="2"/>
  <c r="G24" i="2"/>
  <c r="H25" i="2"/>
  <c r="G25" i="2"/>
  <c r="E25" i="2"/>
  <c r="D25" i="2"/>
  <c r="H43" i="2"/>
  <c r="H24" i="2"/>
  <c r="I25" i="2"/>
  <c r="AE2" i="2"/>
  <c r="AF2" i="2"/>
  <c r="AF19" i="2"/>
  <c r="AE19" i="2"/>
  <c r="AF17" i="2"/>
  <c r="AE17" i="2"/>
  <c r="AF15" i="2"/>
  <c r="AE15" i="2"/>
  <c r="AF14" i="2"/>
  <c r="AE14" i="2"/>
  <c r="AF11" i="2"/>
  <c r="AE11" i="2"/>
  <c r="AF10" i="2"/>
  <c r="AE10" i="2"/>
  <c r="AF9" i="2"/>
  <c r="AE9" i="2"/>
  <c r="AF8" i="2"/>
  <c r="AE8" i="2"/>
  <c r="AF7" i="2"/>
  <c r="AE7" i="2"/>
  <c r="AE5" i="2"/>
  <c r="AF5" i="2"/>
  <c r="AE4" i="2"/>
  <c r="AE24" i="2" s="1"/>
  <c r="AF4" i="2"/>
  <c r="E57" i="2"/>
  <c r="E62" i="2" s="1"/>
  <c r="E65" i="2" s="1"/>
  <c r="E40" i="2"/>
  <c r="E48" i="2" s="1"/>
  <c r="J43" i="2"/>
  <c r="AF43" i="2" s="1"/>
  <c r="AD76" i="2" l="1"/>
  <c r="AC76" i="2"/>
  <c r="AF71" i="2"/>
  <c r="AE75" i="2"/>
  <c r="AE79" i="2" s="1"/>
  <c r="AF72" i="2"/>
  <c r="AC48" i="2"/>
  <c r="AC67" i="2" s="1"/>
  <c r="AC68" i="2" s="1"/>
  <c r="AC78" i="2" s="1"/>
  <c r="AE70" i="2"/>
  <c r="AE72" i="2" s="1"/>
  <c r="AE76" i="2" s="1"/>
  <c r="AE80" i="2" s="1"/>
  <c r="H79" i="2"/>
  <c r="AK5" i="2"/>
  <c r="AK6" i="2" s="1"/>
  <c r="AK9" i="2"/>
  <c r="AK7" i="2"/>
  <c r="AK8" i="2"/>
  <c r="AL4" i="2"/>
  <c r="AJ7" i="2"/>
  <c r="AJ12" i="2" s="1"/>
  <c r="AJ13" i="2" s="1"/>
  <c r="Z12" i="2"/>
  <c r="Z13" i="2" s="1"/>
  <c r="Z28" i="2" s="1"/>
  <c r="AF75" i="2"/>
  <c r="AD13" i="2"/>
  <c r="AC80" i="2"/>
  <c r="AD80" i="2"/>
  <c r="AC13" i="2"/>
  <c r="AE6" i="2"/>
  <c r="AE27" i="2" s="1"/>
  <c r="AF12" i="2"/>
  <c r="AE12" i="2"/>
  <c r="AF24" i="2"/>
  <c r="AF6" i="2"/>
  <c r="AF27" i="2" s="1"/>
  <c r="E71" i="2"/>
  <c r="E70" i="2"/>
  <c r="F71" i="2"/>
  <c r="F70" i="2"/>
  <c r="F72" i="2" s="1"/>
  <c r="F43" i="2"/>
  <c r="AE43" i="2" s="1"/>
  <c r="I43" i="2"/>
  <c r="F25" i="2"/>
  <c r="I24" i="2"/>
  <c r="J25" i="2"/>
  <c r="J24" i="2"/>
  <c r="N24" i="2"/>
  <c r="K25" i="2"/>
  <c r="U71" i="2"/>
  <c r="T71" i="2"/>
  <c r="S71" i="2"/>
  <c r="U70" i="2"/>
  <c r="T70" i="2"/>
  <c r="S70" i="2"/>
  <c r="D71" i="2"/>
  <c r="C71" i="2"/>
  <c r="D70" i="2"/>
  <c r="C70" i="2"/>
  <c r="F57" i="2"/>
  <c r="F62" i="2" s="1"/>
  <c r="D57" i="2"/>
  <c r="D62" i="2" s="1"/>
  <c r="D65" i="2" s="1"/>
  <c r="C57" i="2"/>
  <c r="C62" i="2" s="1"/>
  <c r="C65" i="2" s="1"/>
  <c r="F40" i="2"/>
  <c r="D40" i="2"/>
  <c r="D48" i="2" s="1"/>
  <c r="C40" i="2"/>
  <c r="C48" i="2" s="1"/>
  <c r="F12" i="2"/>
  <c r="E12" i="2"/>
  <c r="D12" i="2"/>
  <c r="C12" i="2"/>
  <c r="F6" i="2"/>
  <c r="F27" i="2" s="1"/>
  <c r="E6" i="2"/>
  <c r="E27" i="2" s="1"/>
  <c r="D6" i="2"/>
  <c r="D27" i="2" s="1"/>
  <c r="C6" i="2"/>
  <c r="C27" i="2" s="1"/>
  <c r="D11" i="1"/>
  <c r="D10" i="1"/>
  <c r="D9" i="1"/>
  <c r="D7" i="1"/>
  <c r="F48" i="2" l="1"/>
  <c r="F67" i="2" s="1"/>
  <c r="F68" i="2" s="1"/>
  <c r="F78" i="2" s="1"/>
  <c r="S72" i="2"/>
  <c r="T72" i="2"/>
  <c r="U72" i="2"/>
  <c r="Z16" i="2"/>
  <c r="Z30" i="2" s="1"/>
  <c r="AC16" i="2"/>
  <c r="AC28" i="2"/>
  <c r="AJ28" i="2"/>
  <c r="AJ16" i="2"/>
  <c r="AD16" i="2"/>
  <c r="AD28" i="2"/>
  <c r="AF76" i="2"/>
  <c r="AF79" i="2"/>
  <c r="AL9" i="2"/>
  <c r="AL7" i="2"/>
  <c r="AM4" i="2"/>
  <c r="AL8" i="2"/>
  <c r="AL5" i="2"/>
  <c r="AL6" i="2" s="1"/>
  <c r="C13" i="2"/>
  <c r="AE13" i="2"/>
  <c r="AE28" i="2" s="1"/>
  <c r="AF13" i="2"/>
  <c r="AF16" i="2" s="1"/>
  <c r="D13" i="2"/>
  <c r="E72" i="2"/>
  <c r="F65" i="2"/>
  <c r="E13" i="2"/>
  <c r="C72" i="2"/>
  <c r="D72" i="2"/>
  <c r="F13" i="2"/>
  <c r="AG74" i="2"/>
  <c r="AG64" i="2"/>
  <c r="AH64" i="2" s="1"/>
  <c r="AG59" i="2"/>
  <c r="AH59" i="2" s="1"/>
  <c r="AG58" i="2"/>
  <c r="AH58" i="2" s="1"/>
  <c r="AG56" i="2"/>
  <c r="AH56" i="2" s="1"/>
  <c r="AG55" i="2"/>
  <c r="AH55" i="2" s="1"/>
  <c r="AG54" i="2"/>
  <c r="AH54" i="2" s="1"/>
  <c r="AG53" i="2"/>
  <c r="AH53" i="2" s="1"/>
  <c r="AG52" i="2"/>
  <c r="AH52" i="2" s="1"/>
  <c r="AG51" i="2"/>
  <c r="AH51" i="2" s="1"/>
  <c r="AG46" i="2"/>
  <c r="AH46" i="2" s="1"/>
  <c r="AG45" i="2"/>
  <c r="AH45" i="2" s="1"/>
  <c r="AG44" i="2"/>
  <c r="AG42" i="2"/>
  <c r="AH42" i="2" s="1"/>
  <c r="AG41" i="2"/>
  <c r="AH41" i="2" s="1"/>
  <c r="AH50" i="2"/>
  <c r="AG50" i="2"/>
  <c r="AG60" i="2"/>
  <c r="AG38" i="2"/>
  <c r="AH38" i="2" s="1"/>
  <c r="AG36" i="2"/>
  <c r="AG35" i="2"/>
  <c r="AH74" i="2"/>
  <c r="AH75" i="2" s="1"/>
  <c r="AH60" i="2"/>
  <c r="AH44" i="2"/>
  <c r="AH36" i="2"/>
  <c r="AH35" i="2"/>
  <c r="AG2" i="2"/>
  <c r="AG19" i="2"/>
  <c r="AG17" i="2"/>
  <c r="AG15" i="2"/>
  <c r="AG14" i="2"/>
  <c r="AG11" i="2"/>
  <c r="AG10" i="2"/>
  <c r="AG9" i="2"/>
  <c r="AG8" i="2"/>
  <c r="AG7" i="2"/>
  <c r="AG5" i="2"/>
  <c r="AG4" i="2"/>
  <c r="AG24" i="2" s="1"/>
  <c r="AH19" i="2"/>
  <c r="AH17" i="2"/>
  <c r="AH15" i="2"/>
  <c r="AH14" i="2"/>
  <c r="AH11" i="2"/>
  <c r="AH10" i="2"/>
  <c r="AH9" i="2"/>
  <c r="AH8" i="2"/>
  <c r="AH7" i="2"/>
  <c r="AH5" i="2"/>
  <c r="AH4" i="2"/>
  <c r="AH3" i="2"/>
  <c r="AH2" i="2"/>
  <c r="O43" i="2"/>
  <c r="L25" i="2"/>
  <c r="O24" i="2"/>
  <c r="T24" i="2"/>
  <c r="S24" i="2"/>
  <c r="P25" i="2"/>
  <c r="O25" i="2"/>
  <c r="P43" i="2"/>
  <c r="M25" i="2"/>
  <c r="P24" i="2"/>
  <c r="Q25" i="2"/>
  <c r="M71" i="2"/>
  <c r="L71" i="2"/>
  <c r="K71" i="2"/>
  <c r="J71" i="2"/>
  <c r="I71" i="2"/>
  <c r="H71" i="2"/>
  <c r="G71" i="2"/>
  <c r="M70" i="2"/>
  <c r="L70" i="2"/>
  <c r="K70" i="2"/>
  <c r="J70" i="2"/>
  <c r="I70" i="2"/>
  <c r="H70" i="2"/>
  <c r="G70" i="2"/>
  <c r="Q71" i="2"/>
  <c r="P71" i="2"/>
  <c r="O71" i="2"/>
  <c r="Q70" i="2"/>
  <c r="P70" i="2"/>
  <c r="O70" i="2"/>
  <c r="N47" i="2"/>
  <c r="AG47" i="2" s="1"/>
  <c r="Q43" i="2"/>
  <c r="Q39" i="2"/>
  <c r="Q24" i="2"/>
  <c r="N25" i="2"/>
  <c r="U24" i="2"/>
  <c r="R25" i="2"/>
  <c r="N71" i="2"/>
  <c r="N70" i="2"/>
  <c r="N61" i="2"/>
  <c r="AG61" i="2" s="1"/>
  <c r="AH61" i="2" s="1"/>
  <c r="N43" i="2"/>
  <c r="AG43" i="2" s="1"/>
  <c r="N39" i="2"/>
  <c r="AG39" i="2" s="1"/>
  <c r="R71" i="2"/>
  <c r="R70" i="2"/>
  <c r="R72" i="2" s="1"/>
  <c r="AF57" i="2"/>
  <c r="AE57" i="2"/>
  <c r="AD57" i="2"/>
  <c r="Y57" i="2"/>
  <c r="X57" i="2"/>
  <c r="W57" i="2"/>
  <c r="V57" i="2"/>
  <c r="U57" i="2"/>
  <c r="T57" i="2"/>
  <c r="S57" i="2"/>
  <c r="R57" i="2"/>
  <c r="Q57" i="2"/>
  <c r="P57" i="2"/>
  <c r="O57" i="2"/>
  <c r="N57" i="2"/>
  <c r="M57" i="2"/>
  <c r="L57" i="2"/>
  <c r="K57" i="2"/>
  <c r="J57" i="2"/>
  <c r="I57" i="2"/>
  <c r="H57" i="2"/>
  <c r="G57" i="2"/>
  <c r="AH6" i="2" l="1"/>
  <c r="AH27" i="2" s="1"/>
  <c r="F16" i="2"/>
  <c r="F28" i="2"/>
  <c r="AF80" i="2"/>
  <c r="AM9" i="2"/>
  <c r="AN4" i="2"/>
  <c r="AM7" i="2"/>
  <c r="AM8" i="2"/>
  <c r="AM5" i="2"/>
  <c r="AM6" i="2" s="1"/>
  <c r="AJ30" i="2"/>
  <c r="AJ18" i="2"/>
  <c r="AJ20" i="2" s="1"/>
  <c r="AE16" i="2"/>
  <c r="AE18" i="2" s="1"/>
  <c r="AE20" i="2" s="1"/>
  <c r="D16" i="2"/>
  <c r="D28" i="2"/>
  <c r="AC18" i="2"/>
  <c r="AC20" i="2" s="1"/>
  <c r="AC30" i="2"/>
  <c r="C16" i="2"/>
  <c r="C28" i="2"/>
  <c r="E16" i="2"/>
  <c r="E28" i="2"/>
  <c r="Z18" i="2"/>
  <c r="Z20" i="2" s="1"/>
  <c r="AD18" i="2"/>
  <c r="AD20" i="2" s="1"/>
  <c r="AD30" i="2"/>
  <c r="AF28" i="2"/>
  <c r="AF18" i="2"/>
  <c r="AF20" i="2" s="1"/>
  <c r="AF82" i="2" s="1"/>
  <c r="AF30" i="2"/>
  <c r="AH24" i="2"/>
  <c r="G72" i="2"/>
  <c r="AG71" i="2"/>
  <c r="AG12" i="2"/>
  <c r="I72" i="2"/>
  <c r="I76" i="2" s="1"/>
  <c r="J72" i="2"/>
  <c r="J76" i="2" s="1"/>
  <c r="AG70" i="2"/>
  <c r="M72" i="2"/>
  <c r="AH70" i="2"/>
  <c r="N72" i="2"/>
  <c r="N76" i="2" s="1"/>
  <c r="AG40" i="2"/>
  <c r="AH12" i="2"/>
  <c r="AH13" i="2" s="1"/>
  <c r="AH16" i="2" s="1"/>
  <c r="AH18" i="2" s="1"/>
  <c r="AH20" i="2" s="1"/>
  <c r="Q72" i="2"/>
  <c r="Q76" i="2" s="1"/>
  <c r="K72" i="2"/>
  <c r="L72" i="2"/>
  <c r="AG6" i="2"/>
  <c r="AG27" i="2" s="1"/>
  <c r="AG75" i="2"/>
  <c r="H72" i="2"/>
  <c r="H76" i="2" s="1"/>
  <c r="AG57" i="2"/>
  <c r="AH57" i="2"/>
  <c r="AH71" i="2"/>
  <c r="AH79" i="2"/>
  <c r="O72" i="2"/>
  <c r="O76" i="2" s="1"/>
  <c r="P72" i="2"/>
  <c r="P76" i="2" s="1"/>
  <c r="R76" i="2"/>
  <c r="Z21" i="2" l="1"/>
  <c r="Z29" i="2"/>
  <c r="AE30" i="2"/>
  <c r="AC21" i="2"/>
  <c r="AC81" i="2" s="1"/>
  <c r="AC29" i="2"/>
  <c r="AC82" i="2"/>
  <c r="D18" i="2"/>
  <c r="D20" i="2" s="1"/>
  <c r="D30" i="2"/>
  <c r="AD21" i="2"/>
  <c r="AD81" i="2" s="1"/>
  <c r="AD29" i="2"/>
  <c r="AD82" i="2"/>
  <c r="AF29" i="2"/>
  <c r="AF21" i="2"/>
  <c r="AF81" i="2" s="1"/>
  <c r="C18" i="2"/>
  <c r="C20" i="2" s="1"/>
  <c r="C30" i="2"/>
  <c r="AJ21" i="2"/>
  <c r="AJ29" i="2"/>
  <c r="F76" i="2"/>
  <c r="G76" i="2"/>
  <c r="E18" i="2"/>
  <c r="E20" i="2" s="1"/>
  <c r="E30" i="2"/>
  <c r="F18" i="2"/>
  <c r="F20" i="2" s="1"/>
  <c r="F30" i="2"/>
  <c r="AH72" i="2"/>
  <c r="AH76" i="2" s="1"/>
  <c r="AH80" i="2" s="1"/>
  <c r="AN9" i="2"/>
  <c r="AN8" i="2"/>
  <c r="AN7" i="2"/>
  <c r="AN5" i="2"/>
  <c r="AN6" i="2" s="1"/>
  <c r="AO4" i="2"/>
  <c r="AE29" i="2"/>
  <c r="AE21" i="2"/>
  <c r="AE81" i="2" s="1"/>
  <c r="AE82" i="2"/>
  <c r="AH28" i="2"/>
  <c r="AG72" i="2"/>
  <c r="AG76" i="2" s="1"/>
  <c r="AG13" i="2"/>
  <c r="AG16" i="2" s="1"/>
  <c r="AG28" i="2"/>
  <c r="AH21" i="2"/>
  <c r="AH81" i="2" s="1"/>
  <c r="AH82" i="2"/>
  <c r="AG79" i="2"/>
  <c r="AH29" i="2"/>
  <c r="AH30" i="2"/>
  <c r="AO9" i="2" l="1"/>
  <c r="AO8" i="2"/>
  <c r="AO7" i="2"/>
  <c r="AO5" i="2"/>
  <c r="AO6" i="2" s="1"/>
  <c r="AP4" i="2"/>
  <c r="C29" i="2"/>
  <c r="C21" i="2"/>
  <c r="D29" i="2"/>
  <c r="D21" i="2"/>
  <c r="E29" i="2"/>
  <c r="E21" i="2"/>
  <c r="F21" i="2"/>
  <c r="F29" i="2"/>
  <c r="AG80" i="2"/>
  <c r="AG18" i="2"/>
  <c r="AG20" i="2" s="1"/>
  <c r="AG30" i="2"/>
  <c r="AP9" i="2" l="1"/>
  <c r="AP7" i="2"/>
  <c r="AQ4" i="2"/>
  <c r="AP8" i="2"/>
  <c r="AP5" i="2"/>
  <c r="AP6" i="2" s="1"/>
  <c r="F81" i="2"/>
  <c r="AG21" i="2"/>
  <c r="AG81" i="2" s="1"/>
  <c r="AG29" i="2"/>
  <c r="AG82" i="2"/>
  <c r="AQ9" i="2" l="1"/>
  <c r="AR4" i="2"/>
  <c r="AQ8" i="2"/>
  <c r="AQ5" i="2"/>
  <c r="AQ6" i="2" s="1"/>
  <c r="AQ7" i="2"/>
  <c r="R47" i="2"/>
  <c r="AH47" i="2" s="1"/>
  <c r="R43" i="2"/>
  <c r="AH43" i="2" s="1"/>
  <c r="R39" i="2"/>
  <c r="AH39" i="2" s="1"/>
  <c r="R24" i="2"/>
  <c r="W25" i="2"/>
  <c r="V25" i="2"/>
  <c r="U25" i="2"/>
  <c r="T25" i="2"/>
  <c r="S25" i="2"/>
  <c r="V24" i="2"/>
  <c r="AR9" i="2" l="1"/>
  <c r="AS4" i="2"/>
  <c r="AR7" i="2"/>
  <c r="AR8" i="2"/>
  <c r="AR5" i="2"/>
  <c r="AR6" i="2" s="1"/>
  <c r="AI74" i="2"/>
  <c r="AI64" i="2"/>
  <c r="AI61" i="2"/>
  <c r="AI59" i="2"/>
  <c r="AI58" i="2"/>
  <c r="AI54" i="2"/>
  <c r="AI53" i="2"/>
  <c r="AI52" i="2"/>
  <c r="AI51" i="2"/>
  <c r="AI60" i="2"/>
  <c r="AI50" i="2"/>
  <c r="AI47" i="2"/>
  <c r="AI46" i="2"/>
  <c r="AI45" i="2"/>
  <c r="AI44" i="2"/>
  <c r="AI43" i="2"/>
  <c r="AI42" i="2"/>
  <c r="AI41" i="2"/>
  <c r="AI39" i="2"/>
  <c r="AH62" i="2"/>
  <c r="AH65" i="2" s="1"/>
  <c r="AG62" i="2"/>
  <c r="AG65" i="2" s="1"/>
  <c r="AF62" i="2"/>
  <c r="AF65" i="2" s="1"/>
  <c r="AE62" i="2"/>
  <c r="AE65" i="2" s="1"/>
  <c r="AH40" i="2"/>
  <c r="AH48" i="2" s="1"/>
  <c r="AG48" i="2"/>
  <c r="AF40" i="2"/>
  <c r="AF48" i="2" s="1"/>
  <c r="AF67" i="2" s="1"/>
  <c r="AF68" i="2" s="1"/>
  <c r="AF78" i="2" s="1"/>
  <c r="AE40" i="2"/>
  <c r="AE48" i="2" s="1"/>
  <c r="AD62" i="2"/>
  <c r="AD65" i="2" s="1"/>
  <c r="AD40" i="2"/>
  <c r="AD48" i="2" s="1"/>
  <c r="AI38" i="2"/>
  <c r="AI36" i="2"/>
  <c r="AI35" i="2"/>
  <c r="AI19" i="2"/>
  <c r="AI17" i="2"/>
  <c r="AI15" i="2"/>
  <c r="AI14" i="2"/>
  <c r="AI11" i="2"/>
  <c r="AI10" i="2"/>
  <c r="AI9" i="2"/>
  <c r="AI8" i="2"/>
  <c r="AI7" i="2"/>
  <c r="AI5" i="2"/>
  <c r="AI4" i="2"/>
  <c r="AJ24" i="2" s="1"/>
  <c r="W75" i="2"/>
  <c r="W79" i="2" s="1"/>
  <c r="W71" i="2"/>
  <c r="W70" i="2"/>
  <c r="W24" i="2"/>
  <c r="X25" i="2"/>
  <c r="X75" i="2"/>
  <c r="X79" i="2" s="1"/>
  <c r="X71" i="2"/>
  <c r="X70" i="2"/>
  <c r="X24" i="2"/>
  <c r="Y25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X6" i="2"/>
  <c r="X27" i="2" s="1"/>
  <c r="W6" i="2"/>
  <c r="W27" i="2" s="1"/>
  <c r="V6" i="2"/>
  <c r="V27" i="2" s="1"/>
  <c r="U6" i="2"/>
  <c r="U27" i="2" s="1"/>
  <c r="T6" i="2"/>
  <c r="T27" i="2" s="1"/>
  <c r="S6" i="2"/>
  <c r="S27" i="2" s="1"/>
  <c r="R6" i="2"/>
  <c r="R27" i="2" s="1"/>
  <c r="Q6" i="2"/>
  <c r="Q27" i="2" s="1"/>
  <c r="P6" i="2"/>
  <c r="P27" i="2" s="1"/>
  <c r="O6" i="2"/>
  <c r="O27" i="2" s="1"/>
  <c r="N6" i="2"/>
  <c r="N27" i="2" s="1"/>
  <c r="M6" i="2"/>
  <c r="M27" i="2" s="1"/>
  <c r="L6" i="2"/>
  <c r="L27" i="2" s="1"/>
  <c r="K6" i="2"/>
  <c r="K27" i="2" s="1"/>
  <c r="J6" i="2"/>
  <c r="J27" i="2" s="1"/>
  <c r="I6" i="2"/>
  <c r="I27" i="2" s="1"/>
  <c r="H6" i="2"/>
  <c r="H27" i="2" s="1"/>
  <c r="G6" i="2"/>
  <c r="G27" i="2" s="1"/>
  <c r="V75" i="2"/>
  <c r="V79" i="2" s="1"/>
  <c r="V71" i="2"/>
  <c r="V70" i="2"/>
  <c r="U75" i="2"/>
  <c r="Y75" i="2"/>
  <c r="Y79" i="2" s="1"/>
  <c r="Q62" i="2"/>
  <c r="Q65" i="2" s="1"/>
  <c r="X62" i="2"/>
  <c r="X65" i="2" s="1"/>
  <c r="W62" i="2"/>
  <c r="W65" i="2" s="1"/>
  <c r="V62" i="2"/>
  <c r="V65" i="2" s="1"/>
  <c r="U62" i="2"/>
  <c r="U65" i="2" s="1"/>
  <c r="T62" i="2"/>
  <c r="T65" i="2" s="1"/>
  <c r="S62" i="2"/>
  <c r="S65" i="2" s="1"/>
  <c r="R62" i="2"/>
  <c r="R65" i="2" s="1"/>
  <c r="P62" i="2"/>
  <c r="P65" i="2" s="1"/>
  <c r="O62" i="2"/>
  <c r="O65" i="2" s="1"/>
  <c r="N62" i="2"/>
  <c r="N65" i="2" s="1"/>
  <c r="M62" i="2"/>
  <c r="M65" i="2" s="1"/>
  <c r="L62" i="2"/>
  <c r="L65" i="2" s="1"/>
  <c r="K62" i="2"/>
  <c r="K65" i="2" s="1"/>
  <c r="J62" i="2"/>
  <c r="J65" i="2" s="1"/>
  <c r="I62" i="2"/>
  <c r="I65" i="2" s="1"/>
  <c r="H62" i="2"/>
  <c r="H65" i="2" s="1"/>
  <c r="G62" i="2"/>
  <c r="G65" i="2" s="1"/>
  <c r="X40" i="2"/>
  <c r="X48" i="2" s="1"/>
  <c r="W40" i="2"/>
  <c r="W48" i="2" s="1"/>
  <c r="V40" i="2"/>
  <c r="V48" i="2" s="1"/>
  <c r="U40" i="2"/>
  <c r="U48" i="2" s="1"/>
  <c r="T40" i="2"/>
  <c r="T48" i="2" s="1"/>
  <c r="S40" i="2"/>
  <c r="S48" i="2" s="1"/>
  <c r="R40" i="2"/>
  <c r="R48" i="2" s="1"/>
  <c r="Q40" i="2"/>
  <c r="Q48" i="2" s="1"/>
  <c r="P40" i="2"/>
  <c r="P48" i="2" s="1"/>
  <c r="O40" i="2"/>
  <c r="O48" i="2" s="1"/>
  <c r="N40" i="2"/>
  <c r="N48" i="2" s="1"/>
  <c r="M40" i="2"/>
  <c r="M48" i="2" s="1"/>
  <c r="L40" i="2"/>
  <c r="L48" i="2" s="1"/>
  <c r="K40" i="2"/>
  <c r="K48" i="2" s="1"/>
  <c r="J40" i="2"/>
  <c r="J48" i="2" s="1"/>
  <c r="J67" i="2" s="1"/>
  <c r="J68" i="2" s="1"/>
  <c r="J78" i="2" s="1"/>
  <c r="I40" i="2"/>
  <c r="I48" i="2" s="1"/>
  <c r="I67" i="2" s="1"/>
  <c r="I68" i="2" s="1"/>
  <c r="I78" i="2" s="1"/>
  <c r="H40" i="2"/>
  <c r="H48" i="2" s="1"/>
  <c r="H67" i="2" s="1"/>
  <c r="H68" i="2" s="1"/>
  <c r="H78" i="2" s="1"/>
  <c r="G40" i="2"/>
  <c r="G48" i="2" s="1"/>
  <c r="Y71" i="2"/>
  <c r="Y70" i="2"/>
  <c r="Y62" i="2"/>
  <c r="Y65" i="2" s="1"/>
  <c r="Y40" i="2"/>
  <c r="Y48" i="2" s="1"/>
  <c r="Y24" i="2"/>
  <c r="Y12" i="2"/>
  <c r="Y6" i="2"/>
  <c r="Y27" i="2" s="1"/>
  <c r="G67" i="2" l="1"/>
  <c r="G68" i="2" s="1"/>
  <c r="G78" i="2" s="1"/>
  <c r="AD67" i="2"/>
  <c r="AD68" i="2" s="1"/>
  <c r="AD78" i="2" s="1"/>
  <c r="AE67" i="2"/>
  <c r="AE68" i="2" s="1"/>
  <c r="AE78" i="2" s="1"/>
  <c r="U76" i="2"/>
  <c r="U79" i="2"/>
  <c r="A79" i="2" s="1"/>
  <c r="AK10" i="2"/>
  <c r="AK11" i="2"/>
  <c r="AL11" i="2" s="1"/>
  <c r="AK15" i="2"/>
  <c r="AL15" i="2" s="1"/>
  <c r="AS9" i="2"/>
  <c r="AT4" i="2"/>
  <c r="AS7" i="2"/>
  <c r="AS8" i="2"/>
  <c r="AS5" i="2"/>
  <c r="AS6" i="2" s="1"/>
  <c r="N67" i="2"/>
  <c r="N68" i="2" s="1"/>
  <c r="N78" i="2" s="1"/>
  <c r="O67" i="2"/>
  <c r="O68" i="2" s="1"/>
  <c r="O78" i="2" s="1"/>
  <c r="X72" i="2"/>
  <c r="X76" i="2" s="1"/>
  <c r="P67" i="2"/>
  <c r="P68" i="2" s="1"/>
  <c r="P78" i="2" s="1"/>
  <c r="Q67" i="2"/>
  <c r="Q68" i="2" s="1"/>
  <c r="Q78" i="2" s="1"/>
  <c r="AI6" i="2"/>
  <c r="AI27" i="2" s="1"/>
  <c r="AI24" i="2"/>
  <c r="AG67" i="2"/>
  <c r="AG68" i="2" s="1"/>
  <c r="AG78" i="2" s="1"/>
  <c r="AH67" i="2"/>
  <c r="AH68" i="2" s="1"/>
  <c r="AH78" i="2" s="1"/>
  <c r="P13" i="2"/>
  <c r="V72" i="2"/>
  <c r="V76" i="2" s="1"/>
  <c r="AI71" i="2"/>
  <c r="AI57" i="2"/>
  <c r="R67" i="2"/>
  <c r="R68" i="2" s="1"/>
  <c r="R78" i="2" s="1"/>
  <c r="O13" i="2"/>
  <c r="Q13" i="2"/>
  <c r="V67" i="2"/>
  <c r="V68" i="2" s="1"/>
  <c r="V78" i="2" s="1"/>
  <c r="W72" i="2"/>
  <c r="W76" i="2" s="1"/>
  <c r="U13" i="2"/>
  <c r="U16" i="2" s="1"/>
  <c r="U18" i="2" s="1"/>
  <c r="U20" i="2" s="1"/>
  <c r="U21" i="2" s="1"/>
  <c r="L13" i="2"/>
  <c r="M13" i="2"/>
  <c r="AI70" i="2"/>
  <c r="N13" i="2"/>
  <c r="R13" i="2"/>
  <c r="V13" i="2"/>
  <c r="G13" i="2"/>
  <c r="X67" i="2"/>
  <c r="X68" i="2" s="1"/>
  <c r="X78" i="2" s="1"/>
  <c r="W67" i="2"/>
  <c r="W68" i="2" s="1"/>
  <c r="W78" i="2" s="1"/>
  <c r="Y13" i="2"/>
  <c r="Y28" i="2" s="1"/>
  <c r="AI75" i="2"/>
  <c r="AI40" i="2"/>
  <c r="AI48" i="2" s="1"/>
  <c r="H13" i="2"/>
  <c r="X13" i="2"/>
  <c r="I13" i="2"/>
  <c r="J13" i="2"/>
  <c r="K13" i="2"/>
  <c r="AI12" i="2"/>
  <c r="S13" i="2"/>
  <c r="W13" i="2"/>
  <c r="T13" i="2"/>
  <c r="C11" i="1"/>
  <c r="AW27" i="2" s="1"/>
  <c r="Y72" i="2"/>
  <c r="Y76" i="2" s="1"/>
  <c r="Y67" i="2"/>
  <c r="Y68" i="2" s="1"/>
  <c r="AM11" i="2" l="1"/>
  <c r="AN11" i="2" s="1"/>
  <c r="AO11" i="2"/>
  <c r="H16" i="2"/>
  <c r="H28" i="2"/>
  <c r="AK12" i="2"/>
  <c r="AK13" i="2" s="1"/>
  <c r="I16" i="2"/>
  <c r="I28" i="2"/>
  <c r="G16" i="2"/>
  <c r="G28" i="2"/>
  <c r="AM15" i="2"/>
  <c r="U30" i="2"/>
  <c r="J16" i="2"/>
  <c r="J28" i="2"/>
  <c r="AT9" i="2"/>
  <c r="AT5" i="2"/>
  <c r="AT6" i="2" s="1"/>
  <c r="AT8" i="2"/>
  <c r="AT7" i="2"/>
  <c r="AL10" i="2"/>
  <c r="AM10" i="2" s="1"/>
  <c r="U29" i="2"/>
  <c r="U28" i="2"/>
  <c r="AI72" i="2"/>
  <c r="AI76" i="2" s="1"/>
  <c r="AI13" i="2"/>
  <c r="AI16" i="2" s="1"/>
  <c r="P16" i="2"/>
  <c r="P28" i="2"/>
  <c r="Q16" i="2"/>
  <c r="Q28" i="2"/>
  <c r="O16" i="2"/>
  <c r="O28" i="2"/>
  <c r="M16" i="2"/>
  <c r="M28" i="2"/>
  <c r="L16" i="2"/>
  <c r="L28" i="2"/>
  <c r="K16" i="2"/>
  <c r="K28" i="2"/>
  <c r="N16" i="2"/>
  <c r="N28" i="2"/>
  <c r="R16" i="2"/>
  <c r="R28" i="2"/>
  <c r="Y78" i="2"/>
  <c r="A78" i="2" s="1"/>
  <c r="C33" i="1"/>
  <c r="X16" i="2"/>
  <c r="X28" i="2"/>
  <c r="AI79" i="2"/>
  <c r="AB79" i="2" s="1"/>
  <c r="V16" i="2"/>
  <c r="V28" i="2"/>
  <c r="T16" i="2"/>
  <c r="T28" i="2"/>
  <c r="W16" i="2"/>
  <c r="W28" i="2"/>
  <c r="S16" i="2"/>
  <c r="S28" i="2"/>
  <c r="Y16" i="2"/>
  <c r="Y30" i="2" s="1"/>
  <c r="AI62" i="2"/>
  <c r="AI65" i="2" s="1"/>
  <c r="AM12" i="2" l="1"/>
  <c r="AM13" i="2" s="1"/>
  <c r="AN10" i="2"/>
  <c r="AN12" i="2" s="1"/>
  <c r="AN13" i="2" s="1"/>
  <c r="J18" i="2"/>
  <c r="J20" i="2" s="1"/>
  <c r="J30" i="2"/>
  <c r="AN15" i="2"/>
  <c r="AP11" i="2"/>
  <c r="I18" i="2"/>
  <c r="I20" i="2" s="1"/>
  <c r="I30" i="2"/>
  <c r="AL12" i="2"/>
  <c r="AL13" i="2" s="1"/>
  <c r="AK16" i="2"/>
  <c r="AK28" i="2"/>
  <c r="H18" i="2"/>
  <c r="H20" i="2" s="1"/>
  <c r="H30" i="2"/>
  <c r="G18" i="2"/>
  <c r="G20" i="2" s="1"/>
  <c r="G30" i="2"/>
  <c r="AI28" i="2"/>
  <c r="Y18" i="2"/>
  <c r="Y20" i="2" s="1"/>
  <c r="Y21" i="2" s="1"/>
  <c r="M18" i="2"/>
  <c r="M20" i="2" s="1"/>
  <c r="M30" i="2"/>
  <c r="O18" i="2"/>
  <c r="O20" i="2" s="1"/>
  <c r="O30" i="2"/>
  <c r="Q18" i="2"/>
  <c r="Q20" i="2" s="1"/>
  <c r="Q30" i="2"/>
  <c r="L18" i="2"/>
  <c r="L20" i="2" s="1"/>
  <c r="L30" i="2"/>
  <c r="P18" i="2"/>
  <c r="P20" i="2" s="1"/>
  <c r="P30" i="2"/>
  <c r="K18" i="2"/>
  <c r="K20" i="2" s="1"/>
  <c r="K30" i="2"/>
  <c r="R18" i="2"/>
  <c r="R20" i="2" s="1"/>
  <c r="R30" i="2"/>
  <c r="N18" i="2"/>
  <c r="N20" i="2" s="1"/>
  <c r="N30" i="2"/>
  <c r="AI18" i="2"/>
  <c r="AI20" i="2" s="1"/>
  <c r="AI30" i="2"/>
  <c r="W18" i="2"/>
  <c r="W20" i="2" s="1"/>
  <c r="W30" i="2"/>
  <c r="AI67" i="2"/>
  <c r="AI68" i="2" s="1"/>
  <c r="AI78" i="2" s="1"/>
  <c r="AB78" i="2" s="1"/>
  <c r="T18" i="2"/>
  <c r="T20" i="2" s="1"/>
  <c r="T30" i="2"/>
  <c r="X18" i="2"/>
  <c r="X20" i="2" s="1"/>
  <c r="X30" i="2"/>
  <c r="V18" i="2"/>
  <c r="V20" i="2" s="1"/>
  <c r="V30" i="2"/>
  <c r="AI80" i="2"/>
  <c r="AB80" i="2" s="1"/>
  <c r="S18" i="2"/>
  <c r="S20" i="2" s="1"/>
  <c r="S30" i="2"/>
  <c r="AO10" i="2" l="1"/>
  <c r="AO12" i="2" s="1"/>
  <c r="AO13" i="2" s="1"/>
  <c r="AQ11" i="2"/>
  <c r="AR11" i="2" s="1"/>
  <c r="AS11" i="2"/>
  <c r="AT11" i="2" s="1"/>
  <c r="H21" i="2"/>
  <c r="H29" i="2"/>
  <c r="AL16" i="2"/>
  <c r="AL28" i="2"/>
  <c r="J21" i="2"/>
  <c r="J29" i="2"/>
  <c r="AO28" i="2"/>
  <c r="AO15" i="2"/>
  <c r="AP15" i="2" s="1"/>
  <c r="AQ15" i="2" s="1"/>
  <c r="AP10" i="2"/>
  <c r="AP12" i="2" s="1"/>
  <c r="AP13" i="2" s="1"/>
  <c r="AK17" i="2"/>
  <c r="AK18" i="2" s="1"/>
  <c r="AK20" i="2" s="1"/>
  <c r="AN16" i="2"/>
  <c r="AN28" i="2"/>
  <c r="G29" i="2"/>
  <c r="G21" i="2"/>
  <c r="I29" i="2"/>
  <c r="I21" i="2"/>
  <c r="AM16" i="2"/>
  <c r="AM28" i="2"/>
  <c r="Y29" i="2"/>
  <c r="L21" i="2"/>
  <c r="L29" i="2"/>
  <c r="Q21" i="2"/>
  <c r="Q29" i="2"/>
  <c r="K29" i="2"/>
  <c r="K21" i="2"/>
  <c r="O29" i="2"/>
  <c r="O21" i="2"/>
  <c r="AI82" i="2"/>
  <c r="AB82" i="2" s="1"/>
  <c r="P29" i="2"/>
  <c r="P21" i="2"/>
  <c r="M29" i="2"/>
  <c r="M21" i="2"/>
  <c r="N21" i="2"/>
  <c r="N29" i="2"/>
  <c r="R29" i="2"/>
  <c r="R21" i="2"/>
  <c r="X21" i="2"/>
  <c r="X29" i="2"/>
  <c r="W29" i="2"/>
  <c r="W21" i="2"/>
  <c r="S21" i="2"/>
  <c r="S29" i="2"/>
  <c r="V29" i="2"/>
  <c r="V21" i="2"/>
  <c r="T29" i="2"/>
  <c r="T21" i="2"/>
  <c r="AI21" i="2"/>
  <c r="AI81" i="2" s="1"/>
  <c r="AB81" i="2" s="1"/>
  <c r="AI29" i="2"/>
  <c r="C8" i="1"/>
  <c r="AQ10" i="2" l="1"/>
  <c r="U81" i="2"/>
  <c r="M81" i="2"/>
  <c r="O81" i="2"/>
  <c r="AK29" i="2"/>
  <c r="AK21" i="2"/>
  <c r="Y81" i="2"/>
  <c r="X81" i="2"/>
  <c r="J81" i="2"/>
  <c r="G81" i="2"/>
  <c r="I81" i="2"/>
  <c r="H81" i="2"/>
  <c r="AL17" i="2"/>
  <c r="AL18" i="2" s="1"/>
  <c r="AL20" i="2" s="1"/>
  <c r="V81" i="2"/>
  <c r="Q81" i="2"/>
  <c r="N81" i="2"/>
  <c r="AM17" i="2"/>
  <c r="AM18" i="2" s="1"/>
  <c r="AM20" i="2" s="1"/>
  <c r="AN17" i="2"/>
  <c r="AN18" i="2" s="1"/>
  <c r="AN20" i="2" s="1"/>
  <c r="K81" i="2"/>
  <c r="P81" i="2"/>
  <c r="AO16" i="2"/>
  <c r="W81" i="2"/>
  <c r="S81" i="2"/>
  <c r="T81" i="2"/>
  <c r="L81" i="2"/>
  <c r="AP16" i="2"/>
  <c r="AP17" i="2" s="1"/>
  <c r="AP18" i="2" s="1"/>
  <c r="AP20" i="2" s="1"/>
  <c r="AP28" i="2"/>
  <c r="R81" i="2"/>
  <c r="AR15" i="2"/>
  <c r="AS15" i="2" s="1"/>
  <c r="C36" i="1"/>
  <c r="C34" i="1"/>
  <c r="C12" i="1"/>
  <c r="AQ12" i="2" l="1"/>
  <c r="AQ13" i="2" s="1"/>
  <c r="AR10" i="2"/>
  <c r="AT15" i="2"/>
  <c r="AM29" i="2"/>
  <c r="AM21" i="2"/>
  <c r="AP29" i="2"/>
  <c r="AP21" i="2"/>
  <c r="A81" i="2"/>
  <c r="AL29" i="2"/>
  <c r="AL21" i="2"/>
  <c r="AN21" i="2"/>
  <c r="AN29" i="2"/>
  <c r="AO17" i="2"/>
  <c r="AO18" i="2"/>
  <c r="AO20" i="2" s="1"/>
  <c r="C35" i="1"/>
  <c r="C37" i="1"/>
  <c r="AR12" i="2" l="1"/>
  <c r="AR13" i="2" s="1"/>
  <c r="AS10" i="2"/>
  <c r="AS12" i="2" s="1"/>
  <c r="AS13" i="2" s="1"/>
  <c r="AT10" i="2"/>
  <c r="AT12" i="2" s="1"/>
  <c r="AT13" i="2" s="1"/>
  <c r="AQ16" i="2"/>
  <c r="AQ17" i="2" s="1"/>
  <c r="AQ18" i="2" s="1"/>
  <c r="AQ20" i="2" s="1"/>
  <c r="AQ28" i="2"/>
  <c r="AO29" i="2"/>
  <c r="AO21" i="2"/>
  <c r="AT16" i="2" l="1"/>
  <c r="AT17" i="2" s="1"/>
  <c r="AT18" i="2" s="1"/>
  <c r="AT20" i="2" s="1"/>
  <c r="AT28" i="2"/>
  <c r="AQ29" i="2"/>
  <c r="AQ21" i="2"/>
  <c r="AS28" i="2"/>
  <c r="AS16" i="2"/>
  <c r="AS17" i="2" s="1"/>
  <c r="AS18" i="2" s="1"/>
  <c r="AS20" i="2" s="1"/>
  <c r="AR28" i="2"/>
  <c r="AR16" i="2"/>
  <c r="AR17" i="2" s="1"/>
  <c r="AR18" i="2" s="1"/>
  <c r="AR20" i="2" s="1"/>
  <c r="AR29" i="2" l="1"/>
  <c r="AR21" i="2"/>
  <c r="AS29" i="2"/>
  <c r="AS21" i="2"/>
  <c r="AT29" i="2"/>
  <c r="AT21" i="2"/>
  <c r="AU20" i="2"/>
  <c r="AV20" i="2" s="1"/>
  <c r="AW20" i="2" s="1"/>
  <c r="AX20" i="2" s="1"/>
  <c r="AY20" i="2" s="1"/>
  <c r="AZ20" i="2" s="1"/>
  <c r="BA20" i="2" s="1"/>
  <c r="BB20" i="2" s="1"/>
  <c r="BC20" i="2" s="1"/>
  <c r="BD20" i="2" s="1"/>
  <c r="BE20" i="2" s="1"/>
  <c r="BF20" i="2" s="1"/>
  <c r="BG20" i="2" s="1"/>
  <c r="BH20" i="2" s="1"/>
  <c r="BI20" i="2" s="1"/>
  <c r="BJ20" i="2" s="1"/>
  <c r="BK20" i="2" s="1"/>
  <c r="BL20" i="2" s="1"/>
  <c r="BM20" i="2" s="1"/>
  <c r="BN20" i="2" s="1"/>
  <c r="BO20" i="2" s="1"/>
  <c r="BP20" i="2" s="1"/>
  <c r="BQ20" i="2" s="1"/>
  <c r="BR20" i="2" s="1"/>
  <c r="BS20" i="2" s="1"/>
  <c r="BT20" i="2" s="1"/>
  <c r="BU20" i="2" s="1"/>
  <c r="BV20" i="2" s="1"/>
  <c r="BW20" i="2" s="1"/>
  <c r="BX20" i="2" s="1"/>
  <c r="BY20" i="2" s="1"/>
  <c r="BZ20" i="2" s="1"/>
  <c r="CA20" i="2" s="1"/>
  <c r="CB20" i="2" s="1"/>
  <c r="CC20" i="2" s="1"/>
  <c r="CD20" i="2" s="1"/>
  <c r="CE20" i="2" s="1"/>
  <c r="CF20" i="2" s="1"/>
  <c r="CG20" i="2" s="1"/>
  <c r="CH20" i="2" s="1"/>
  <c r="CI20" i="2" s="1"/>
  <c r="CJ20" i="2" s="1"/>
  <c r="CK20" i="2" s="1"/>
  <c r="CL20" i="2" s="1"/>
  <c r="CM20" i="2" s="1"/>
  <c r="CN20" i="2" s="1"/>
  <c r="CO20" i="2" s="1"/>
  <c r="CP20" i="2" s="1"/>
  <c r="AW26" i="2" s="1"/>
  <c r="AW28" i="2" s="1"/>
  <c r="AW29" i="2" s="1"/>
  <c r="AW31" i="2" s="1"/>
</calcChain>
</file>

<file path=xl/sharedStrings.xml><?xml version="1.0" encoding="utf-8"?>
<sst xmlns="http://schemas.openxmlformats.org/spreadsheetml/2006/main" count="189" uniqueCount="139">
  <si>
    <t>$EBAY</t>
  </si>
  <si>
    <t>eBay Inc.</t>
  </si>
  <si>
    <t>Stock Snapshot</t>
  </si>
  <si>
    <t>Price</t>
  </si>
  <si>
    <t>Shares</t>
  </si>
  <si>
    <t>MC</t>
  </si>
  <si>
    <t>Cash</t>
  </si>
  <si>
    <t>Debt</t>
  </si>
  <si>
    <t>Net Cash</t>
  </si>
  <si>
    <t>EV</t>
  </si>
  <si>
    <t>Management</t>
  </si>
  <si>
    <t>CEO</t>
  </si>
  <si>
    <t>CFO</t>
  </si>
  <si>
    <t>CTO</t>
  </si>
  <si>
    <t>Profile</t>
  </si>
  <si>
    <t>HQ</t>
  </si>
  <si>
    <t>Founded</t>
  </si>
  <si>
    <t>IPO</t>
  </si>
  <si>
    <t>Update</t>
  </si>
  <si>
    <t>IR</t>
  </si>
  <si>
    <t>Key Events</t>
  </si>
  <si>
    <t>San Jose, CA</t>
  </si>
  <si>
    <t>Q118</t>
  </si>
  <si>
    <t>Q218</t>
  </si>
  <si>
    <t>Q318</t>
  </si>
  <si>
    <t>Q418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</si>
  <si>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</si>
  <si>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</si>
  <si>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</si>
  <si>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</si>
  <si>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</si>
  <si>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</si>
  <si>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</si>
  <si>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</si>
  <si>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</si>
  <si>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</si>
  <si>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</si>
  <si>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</si>
  <si>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</si>
  <si>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</si>
  <si>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Q322</t>
  </si>
  <si>
    <t>Q422</t>
  </si>
  <si>
    <t>FY16</t>
  </si>
  <si>
    <t>FY17</t>
  </si>
  <si>
    <t>FY18</t>
  </si>
  <si>
    <t>FY19</t>
  </si>
  <si>
    <t>FY20</t>
  </si>
  <si>
    <t>FY21</t>
  </si>
  <si>
    <t>FY22</t>
  </si>
  <si>
    <t>FY23</t>
  </si>
  <si>
    <t>FY24</t>
  </si>
  <si>
    <t>FY25</t>
  </si>
  <si>
    <t>FY26</t>
  </si>
  <si>
    <t>FY27</t>
  </si>
  <si>
    <t>FY28</t>
  </si>
  <si>
    <t>FY29</t>
  </si>
  <si>
    <t>FY30</t>
  </si>
  <si>
    <t>FY31</t>
  </si>
  <si>
    <t>FY32</t>
  </si>
  <si>
    <t>Link</t>
  </si>
  <si>
    <t>Jamie Iannone</t>
  </si>
  <si>
    <t>Stephen Priest</t>
  </si>
  <si>
    <t>Mazen Al-Rawashdeh</t>
  </si>
  <si>
    <t>Key Metrics/Ratios</t>
  </si>
  <si>
    <t>P/B</t>
  </si>
  <si>
    <t>P/S</t>
  </si>
  <si>
    <t>EV/S</t>
  </si>
  <si>
    <t>P/E</t>
  </si>
  <si>
    <t>EV/E</t>
  </si>
  <si>
    <t>ROCE</t>
  </si>
  <si>
    <t>EPS</t>
  </si>
  <si>
    <t>Net Income</t>
  </si>
  <si>
    <t>Revenues</t>
  </si>
  <si>
    <t>COGS</t>
  </si>
  <si>
    <t>Gross Profit</t>
  </si>
  <si>
    <t>S&amp;M</t>
  </si>
  <si>
    <t>Product Development</t>
  </si>
  <si>
    <t>G&amp;A</t>
  </si>
  <si>
    <t>Provision for Transactions</t>
  </si>
  <si>
    <t>Amortization of Intangibles</t>
  </si>
  <si>
    <t>Total Operating Expenses</t>
  </si>
  <si>
    <t>Operating Income</t>
  </si>
  <si>
    <t>Interest &amp; Other, Net</t>
  </si>
  <si>
    <t>Pretax Income</t>
  </si>
  <si>
    <t>Income Tax Benefit</t>
  </si>
  <si>
    <t>Income from Continuing</t>
  </si>
  <si>
    <t>Income from Discontinuing</t>
  </si>
  <si>
    <t>Gain/Loss on Equity &amp; Warrants</t>
  </si>
  <si>
    <t>Revenue Y/Y</t>
  </si>
  <si>
    <t>Revenue Q/Q</t>
  </si>
  <si>
    <t>Gross Margin</t>
  </si>
  <si>
    <t>Operating Margin</t>
  </si>
  <si>
    <t>Net Margin</t>
  </si>
  <si>
    <t>Tax Rate</t>
  </si>
  <si>
    <t>Balance Sheet</t>
  </si>
  <si>
    <t>Short Term Investments</t>
  </si>
  <si>
    <t>Customer Accounts &amp; Receivable</t>
  </si>
  <si>
    <t>Other Current Assets</t>
  </si>
  <si>
    <t>TCA</t>
  </si>
  <si>
    <t>Long-Term Investments</t>
  </si>
  <si>
    <t>PP&amp;E</t>
  </si>
  <si>
    <t>Goodwill</t>
  </si>
  <si>
    <t>Operating Lease ROU</t>
  </si>
  <si>
    <t>Deferred Taxes</t>
  </si>
  <si>
    <t>Equity Investment in Adevinta</t>
  </si>
  <si>
    <t>Other Assets</t>
  </si>
  <si>
    <t>Assets</t>
  </si>
  <si>
    <t>Short-Term Debt</t>
  </si>
  <si>
    <t>A/P</t>
  </si>
  <si>
    <t>Customer Accounts &amp; Payables</t>
  </si>
  <si>
    <t>Accrued Expenses &amp; OCL</t>
  </si>
  <si>
    <t>Income Taxes Payable</t>
  </si>
  <si>
    <t>TCL</t>
  </si>
  <si>
    <t>Operating Lease Liabilities</t>
  </si>
  <si>
    <t>Deferred Tax Liabilities</t>
  </si>
  <si>
    <t>Long-Term Debt</t>
  </si>
  <si>
    <t>Other Liabilities</t>
  </si>
  <si>
    <t>Liabilities</t>
  </si>
  <si>
    <t>S/E</t>
  </si>
  <si>
    <t>S/E+L</t>
  </si>
  <si>
    <t>Book Value</t>
  </si>
  <si>
    <t>Book Value per Share</t>
  </si>
  <si>
    <t>Share Price</t>
  </si>
  <si>
    <t>-</t>
  </si>
  <si>
    <t>Current Discontinued Operations</t>
  </si>
  <si>
    <t>Current Held-for-Sale</t>
  </si>
  <si>
    <t>FY15</t>
  </si>
  <si>
    <t>Q117</t>
  </si>
  <si>
    <t>Q217</t>
  </si>
  <si>
    <t>Q317</t>
  </si>
  <si>
    <t>Q417</t>
  </si>
  <si>
    <t>(Projected)</t>
  </si>
  <si>
    <t>Maturity Rate</t>
  </si>
  <si>
    <t>Discount Rate</t>
  </si>
  <si>
    <t>NPV</t>
  </si>
  <si>
    <t>Total Value</t>
  </si>
  <si>
    <t>Per Share</t>
  </si>
  <si>
    <t>Current Share Price</t>
  </si>
  <si>
    <t>Upside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</si>
</sst>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5" formatCode="0.0\x"/>
    <numFmt numFmtId="166" formatCode="#,##0_ ;[Red]\-#,##0\ "/>
  </numFmts>
  <fonts count="13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theme="1" tint="0.499984740745262"/>
      <name val="Arial"/>
      <family val="2"/>
    </font>
    <font>
      <b/>
      <sz val="8"/>
      <color theme="1" tint="0.499984740745262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  <font>
      <i/>
      <sz val="10"/>
      <color theme="1"/>
      <name val="Arial"/>
      <family val="2"/>
    </font>
    <font>
      <u/>
      <sz val="10"/>
      <color theme="10"/>
      <name val="Airal"/>
    </font>
    <font>
      <i/>
      <sz val="10"/>
      <color theme="4"/>
      <name val="Arial"/>
      <family val="2"/>
    </font>
    <font>
      <b/>
      <i/>
      <sz val="10"/>
      <color theme="1"/>
      <name val="Arial"/>
      <family val="2"/>
    </font>
    <font>
      <b/>
      <i/>
      <sz val="8"/>
      <color theme="1" tint="0.49998474074526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04">
    <xf numFmtId="0" fontId="0" fillId="0" borderId="0" xfId="0"/>
    <xf numFmtId="0" fontId="1" fillId="0" borderId="0" xfId="0" applyFont="1"/>
    <xf numFmtId="0" fontId="2" fillId="0" borderId="0" xfId="0" applyFont="1"/>
    <xf numFmtId="0" fontId="2" fillId="3" borderId="4" xfId="0" applyFont="1" applyFill="1" applyBorder="1"/>
    <xf numFmtId="0" fontId="2" fillId="3" borderId="6" xfId="0" applyFont="1" applyFill="1" applyBorder="1"/>
    <xf numFmtId="164" fontId="1" fillId="0" borderId="0" xfId="0" applyNumberFormat="1" applyFont="1"/>
    <xf numFmtId="164" fontId="1" fillId="0" borderId="7" xfId="0" applyNumberFormat="1" applyFont="1" applyBorder="1"/>
    <xf numFmtId="0" fontId="2" fillId="4" borderId="4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1" fillId="4" borderId="0" xfId="0" applyFont="1" applyFill="1"/>
    <xf numFmtId="0" fontId="1" fillId="4" borderId="5" xfId="0" applyFont="1" applyFill="1" applyBorder="1"/>
    <xf numFmtId="0" fontId="1" fillId="3" borderId="4" xfId="0" applyFont="1" applyFill="1" applyBorder="1"/>
    <xf numFmtId="0" fontId="1" fillId="3" borderId="6" xfId="0" applyFont="1" applyFill="1" applyBorder="1"/>
    <xf numFmtId="0" fontId="1" fillId="4" borderId="7" xfId="0" applyFont="1" applyFill="1" applyBorder="1"/>
    <xf numFmtId="0" fontId="1" fillId="4" borderId="8" xfId="0" applyFont="1" applyFill="1" applyBorder="1"/>
    <xf numFmtId="0" fontId="1" fillId="4" borderId="0" xfId="0" applyFont="1" applyFill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1" fillId="0" borderId="5" xfId="0" applyFont="1" applyBorder="1" applyAlignment="1">
      <alignment horizontal="right"/>
    </xf>
    <xf numFmtId="0" fontId="1" fillId="0" borderId="8" xfId="0" applyFont="1" applyBorder="1" applyAlignment="1">
      <alignment horizontal="right"/>
    </xf>
    <xf numFmtId="0" fontId="6" fillId="0" borderId="0" xfId="1" applyFont="1" applyAlignment="1">
      <alignment horizontal="right"/>
    </xf>
    <xf numFmtId="17" fontId="4" fillId="0" borderId="0" xfId="0" applyNumberFormat="1" applyFont="1" applyAlignment="1">
      <alignment horizontal="right"/>
    </xf>
    <xf numFmtId="14" fontId="4" fillId="0" borderId="0" xfId="0" applyNumberFormat="1" applyFont="1" applyAlignment="1">
      <alignment horizontal="right"/>
    </xf>
    <xf numFmtId="3" fontId="2" fillId="0" borderId="0" xfId="0" applyNumberFormat="1" applyFont="1"/>
    <xf numFmtId="3" fontId="1" fillId="0" borderId="0" xfId="0" applyNumberFormat="1" applyFont="1"/>
    <xf numFmtId="4" fontId="1" fillId="0" borderId="0" xfId="0" applyNumberFormat="1" applyFont="1"/>
    <xf numFmtId="9" fontId="2" fillId="0" borderId="0" xfId="0" applyNumberFormat="1" applyFont="1"/>
    <xf numFmtId="9" fontId="1" fillId="0" borderId="0" xfId="0" applyNumberFormat="1" applyFont="1"/>
    <xf numFmtId="0" fontId="7" fillId="0" borderId="0" xfId="0" applyFont="1"/>
    <xf numFmtId="0" fontId="8" fillId="0" borderId="0" xfId="0" applyFont="1"/>
    <xf numFmtId="3" fontId="8" fillId="0" borderId="0" xfId="0" applyNumberFormat="1" applyFont="1"/>
    <xf numFmtId="17" fontId="1" fillId="4" borderId="5" xfId="0" applyNumberFormat="1" applyFont="1" applyFill="1" applyBorder="1" applyAlignment="1">
      <alignment horizontal="center"/>
    </xf>
    <xf numFmtId="0" fontId="9" fillId="0" borderId="0" xfId="1" applyFont="1" applyAlignment="1">
      <alignment horizontal="right"/>
    </xf>
    <xf numFmtId="165" fontId="1" fillId="0" borderId="0" xfId="0" applyNumberFormat="1" applyFont="1"/>
    <xf numFmtId="165" fontId="10" fillId="0" borderId="0" xfId="0" applyNumberFormat="1" applyFont="1"/>
    <xf numFmtId="0" fontId="8" fillId="5" borderId="0" xfId="0" applyFont="1" applyFill="1"/>
    <xf numFmtId="0" fontId="11" fillId="5" borderId="0" xfId="0" applyFont="1" applyFill="1" applyAlignment="1">
      <alignment horizontal="right"/>
    </xf>
    <xf numFmtId="0" fontId="12" fillId="5" borderId="0" xfId="0" applyFont="1" applyFill="1" applyAlignment="1">
      <alignment horizontal="right"/>
    </xf>
    <xf numFmtId="0" fontId="11" fillId="5" borderId="0" xfId="0" applyFont="1" applyFill="1"/>
    <xf numFmtId="3" fontId="8" fillId="5" borderId="0" xfId="0" applyNumberFormat="1" applyFont="1" applyFill="1"/>
    <xf numFmtId="9" fontId="8" fillId="5" borderId="0" xfId="0" applyNumberFormat="1" applyFont="1" applyFill="1"/>
    <xf numFmtId="165" fontId="8" fillId="5" borderId="0" xfId="0" applyNumberFormat="1" applyFont="1" applyFill="1"/>
    <xf numFmtId="3" fontId="11" fillId="5" borderId="0" xfId="0" applyNumberFormat="1" applyFont="1" applyFill="1"/>
    <xf numFmtId="4" fontId="8" fillId="5" borderId="0" xfId="0" applyNumberFormat="1" applyFont="1" applyFill="1"/>
    <xf numFmtId="9" fontId="11" fillId="5" borderId="0" xfId="0" applyNumberFormat="1" applyFont="1" applyFill="1"/>
    <xf numFmtId="0" fontId="1" fillId="3" borderId="1" xfId="0" applyFont="1" applyFill="1" applyBorder="1"/>
    <xf numFmtId="0" fontId="1" fillId="0" borderId="5" xfId="0" applyFont="1" applyBorder="1"/>
    <xf numFmtId="9" fontId="1" fillId="0" borderId="8" xfId="0" applyNumberFormat="1" applyFont="1" applyBorder="1"/>
    <xf numFmtId="9" fontId="1" fillId="0" borderId="3" xfId="0" applyNumberFormat="1" applyFont="1" applyBorder="1"/>
    <xf numFmtId="9" fontId="1" fillId="0" borderId="5" xfId="0" applyNumberFormat="1" applyFont="1" applyBorder="1"/>
    <xf numFmtId="166" fontId="1" fillId="0" borderId="5" xfId="0" applyNumberFormat="1" applyFont="1" applyBorder="1"/>
    <xf numFmtId="3" fontId="1" fillId="0" borderId="5" xfId="0" applyNumberFormat="1" applyFont="1" applyBorder="1"/>
    <xf numFmtId="164" fontId="2" fillId="0" borderId="5" xfId="0" applyNumberFormat="1" applyFont="1" applyBorder="1"/>
    <xf numFmtId="0" fontId="11" fillId="0" borderId="0" xfId="0" applyFont="1" applyAlignment="1">
      <alignment horizontal="right"/>
    </xf>
    <xf numFmtId="0" fontId="12" fillId="0" borderId="0" xfId="0" applyFont="1" applyAlignment="1">
      <alignment horizontal="right"/>
    </xf>
    <xf numFmtId="3" fontId="11" fillId="0" borderId="0" xfId="0" applyNumberFormat="1" applyFont="1"/>
    <xf numFmtId="4" fontId="8" fillId="0" borderId="0" xfId="0" applyNumberFormat="1" applyFont="1"/>
    <xf numFmtId="9" fontId="11" fillId="0" borderId="0" xfId="0" applyNumberFormat="1" applyFont="1"/>
    <xf numFmtId="9" fontId="8" fillId="0" borderId="0" xfId="0" applyNumberFormat="1" applyFont="1"/>
    <xf numFmtId="0" fontId="11" fillId="0" borderId="0" xfId="0" applyFont="1"/>
    <xf numFmtId="165" fontId="8" fillId="0" borderId="0" xfId="0" applyNumberFormat="1" applyFont="1"/>
    <xf numFmtId="165" fontId="1" fillId="4" borderId="0" xfId="0" applyNumberFormat="1" applyFont="1" applyFill="1" applyAlignment="1">
      <alignment horizontal="center"/>
    </xf>
    <xf numFmtId="165" fontId="1" fillId="4" borderId="5" xfId="0" applyNumberFormat="1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6" fillId="4" borderId="7" xfId="1" applyFont="1" applyFill="1" applyBorder="1" applyAlignment="1">
      <alignment horizontal="center"/>
    </xf>
    <xf numFmtId="0" fontId="6" fillId="4" borderId="8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6" fillId="0" borderId="0" xfId="1" applyFont="1" applyFill="1" applyAlignment="1">
      <alignment horizontal="right"/>
    </xf>
    <xf numFmtId="14" fontId="12" fillId="0" borderId="0" xfId="0" applyNumberFormat="1" applyFont="1" applyFill="1" applyAlignment="1">
      <alignment horizontal="right"/>
    </xf>
    <xf numFmtId="17" fontId="12" fillId="0" borderId="0" xfId="0" applyNumberFormat="1" applyFont="1" applyFill="1" applyAlignment="1">
      <alignment horizontal="right"/>
    </xf>
    <xf numFmtId="3" fontId="11" fillId="0" borderId="0" xfId="0" applyNumberFormat="1" applyFont="1" applyFill="1"/>
    <xf numFmtId="3" fontId="8" fillId="0" borderId="0" xfId="0" applyNumberFormat="1" applyFont="1" applyFill="1"/>
    <xf numFmtId="4" fontId="8" fillId="0" borderId="0" xfId="0" applyNumberFormat="1" applyFont="1" applyFill="1"/>
    <xf numFmtId="9" fontId="2" fillId="0" borderId="0" xfId="0" applyNumberFormat="1" applyFont="1" applyFill="1"/>
    <xf numFmtId="9" fontId="1" fillId="0" borderId="0" xfId="0" applyNumberFormat="1" applyFont="1" applyFill="1"/>
    <xf numFmtId="0" fontId="1" fillId="0" borderId="0" xfId="0" applyFont="1" applyFill="1"/>
    <xf numFmtId="0" fontId="8" fillId="0" borderId="0" xfId="0" applyFont="1" applyFill="1"/>
    <xf numFmtId="14" fontId="4" fillId="0" borderId="0" xfId="0" applyNumberFormat="1" applyFont="1" applyFill="1" applyAlignment="1">
      <alignment horizontal="right"/>
    </xf>
    <xf numFmtId="17" fontId="4" fillId="0" borderId="0" xfId="0" applyNumberFormat="1" applyFont="1" applyFill="1" applyAlignment="1">
      <alignment horizontal="right"/>
    </xf>
    <xf numFmtId="3" fontId="2" fillId="0" borderId="0" xfId="0" applyNumberFormat="1" applyFont="1" applyFill="1"/>
    <xf numFmtId="3" fontId="1" fillId="0" borderId="0" xfId="0" applyNumberFormat="1" applyFont="1" applyFill="1"/>
    <xf numFmtId="4" fontId="1" fillId="0" borderId="0" xfId="0" applyNumberFormat="1" applyFont="1" applyFill="1"/>
    <xf numFmtId="9" fontId="11" fillId="0" borderId="0" xfId="0" applyNumberFormat="1" applyFont="1" applyFill="1"/>
    <xf numFmtId="9" fontId="8" fillId="0" borderId="0" xfId="0" applyNumberFormat="1" applyFont="1" applyFill="1"/>
    <xf numFmtId="0" fontId="8" fillId="0" borderId="0" xfId="0" applyFont="1" applyFill="1" applyAlignment="1">
      <alignment horizontal="right"/>
    </xf>
    <xf numFmtId="0" fontId="6" fillId="6" borderId="0" xfId="1" applyFont="1" applyFill="1" applyAlignment="1">
      <alignment horizontal="right"/>
    </xf>
    <xf numFmtId="14" fontId="4" fillId="6" borderId="0" xfId="0" applyNumberFormat="1" applyFont="1" applyFill="1" applyAlignment="1">
      <alignment horizontal="right"/>
    </xf>
    <xf numFmtId="17" fontId="4" fillId="6" borderId="0" xfId="0" applyNumberFormat="1" applyFont="1" applyFill="1" applyAlignment="1">
      <alignment horizontal="right"/>
    </xf>
    <xf numFmtId="3" fontId="2" fillId="6" borderId="0" xfId="0" applyNumberFormat="1" applyFont="1" applyFill="1"/>
    <xf numFmtId="3" fontId="1" fillId="6" borderId="0" xfId="0" applyNumberFormat="1" applyFont="1" applyFill="1"/>
    <xf numFmtId="4" fontId="1" fillId="6" borderId="0" xfId="0" applyNumberFormat="1" applyFont="1" applyFill="1"/>
    <xf numFmtId="0" fontId="1" fillId="6" borderId="0" xfId="0" applyFont="1" applyFill="1"/>
    <xf numFmtId="9" fontId="2" fillId="6" borderId="0" xfId="0" applyNumberFormat="1" applyFont="1" applyFill="1"/>
    <xf numFmtId="9" fontId="1" fillId="6" borderId="0" xfId="0" applyNumberFormat="1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190499</xdr:colOff>
      <xdr:row>0</xdr:row>
      <xdr:rowOff>64770</xdr:rowOff>
    </xdr:from>
    <xdr:to>
      <xdr:col>4</xdr:col>
      <xdr:colOff>95250</xdr:colOff>
      <xdr:row>3</xdr:row>
      <xdr:rowOff>28575</xdr:rowOff>
    </xdr:to>
    <xdr:pic>
      <xdr:nvPicPr>
        <xdr:cNvPr id="5" name="Picture 4" descr="File:EBay logo.svg - Wikimedia Commons">
          <a:extLst>
            <a:ext uri="{FF2B5EF4-FFF2-40B4-BE49-F238E27FC236}">
              <a16:creationId xmlns:a16="http://schemas.microsoft.com/office/drawing/2014/main" id="{861274C9-1F76-4234-9409-A6F6268A61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699" y="64770"/>
          <a:ext cx="1123951" cy="4495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695325</xdr:colOff>
      <xdr:row>0</xdr:row>
      <xdr:rowOff>9525</xdr:rowOff>
    </xdr:from>
    <xdr:to>
      <xdr:col>25</xdr:col>
      <xdr:colOff>695325</xdr:colOff>
      <xdr:row>87</xdr:row>
      <xdr:rowOff>104775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677B9753-712E-4B0C-BA25-E6756199EB34}"/>
            </a:ext>
          </a:extLst>
        </xdr:cNvPr>
        <xdr:cNvCxnSpPr/>
      </xdr:nvCxnSpPr>
      <xdr:spPr>
        <a:xfrm>
          <a:off x="19427825" y="9525"/>
          <a:ext cx="0" cy="1429385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0</xdr:colOff>
      <xdr:row>0</xdr:row>
      <xdr:rowOff>0</xdr:rowOff>
    </xdr:from>
    <xdr:to>
      <xdr:col>36</xdr:col>
      <xdr:colOff>0</xdr:colOff>
      <xdr:row>87</xdr:row>
      <xdr:rowOff>95250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FDBD2E53-A5E3-4F74-B5BC-7A1D7DEFC3F3}"/>
            </a:ext>
          </a:extLst>
        </xdr:cNvPr>
        <xdr:cNvCxnSpPr/>
      </xdr:nvCxnSpPr>
      <xdr:spPr>
        <a:xfrm>
          <a:off x="26416000" y="0"/>
          <a:ext cx="0" cy="1429385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investors.ebayinc.com/overview/default.aspx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ebay.q4cdn.com/610426115/files/doc_financials/2020/q3/Exhibit-99.1-ER-eBay-Q3-2020_FINAL.pdf" TargetMode="External"/><Relationship Id="rId13" Type="http://schemas.openxmlformats.org/officeDocument/2006/relationships/hyperlink" Target="https://ebay.q4cdn.com/610426115/files/doc_financials/financials/2018/q3/Exhibit-99.1-ER-eBay-Q3-2018_FINAL.pdf" TargetMode="External"/><Relationship Id="rId18" Type="http://schemas.openxmlformats.org/officeDocument/2006/relationships/hyperlink" Target="https://ebay.q4cdn.com/610426115/files/doc_financials/2022/q4/Exhibit-99.1-ER-eBay-Q4-2022-Final.pdf" TargetMode="External"/><Relationship Id="rId3" Type="http://schemas.openxmlformats.org/officeDocument/2006/relationships/hyperlink" Target="https://ebay.q4cdn.com/610426115/files/doc_financials/2022/q1/Exhibit-99.1-ER-eBay-Q1-2022-Final.pdf" TargetMode="External"/><Relationship Id="rId7" Type="http://schemas.openxmlformats.org/officeDocument/2006/relationships/hyperlink" Target="https://ebay.q4cdn.com/610426115/files/doc_financials/2020/q4/Exhibit-99.1-ER-eBay-Q4-2020_FINAL.pdf" TargetMode="External"/><Relationship Id="rId12" Type="http://schemas.openxmlformats.org/officeDocument/2006/relationships/hyperlink" Target="https://ebay.q4cdn.com/610426115/files/doc_financials/financials/2018/q4/Exhibit-99.1-ER-eBay-Q4-2018_FINAL.pdf" TargetMode="External"/><Relationship Id="rId17" Type="http://schemas.openxmlformats.org/officeDocument/2006/relationships/hyperlink" Target="https://ebay.q4cdn.com/610426115/files/doc_financials/2022/q4/Exhibit-99.1-ER-eBay-Q4-2022-Final.pdf" TargetMode="External"/><Relationship Id="rId2" Type="http://schemas.openxmlformats.org/officeDocument/2006/relationships/hyperlink" Target="https://ebay.q4cdn.com/610426115/files/doc_financials/2022/q2/Exhibit-99.1-ER-eBay-Q2-2022-Final.pdf" TargetMode="External"/><Relationship Id="rId16" Type="http://schemas.openxmlformats.org/officeDocument/2006/relationships/hyperlink" Target="https://ebay.q4cdn.com/610426115/files/doc_financials/financials/2016/EBAY_News_2017_1_25_Earnings.pdf" TargetMode="External"/><Relationship Id="rId20" Type="http://schemas.openxmlformats.org/officeDocument/2006/relationships/drawing" Target="../drawings/drawing2.xml"/><Relationship Id="rId1" Type="http://schemas.openxmlformats.org/officeDocument/2006/relationships/hyperlink" Target="https://ebay.q4cdn.com/610426115/files/doc_financials/2022/q3/eBay-10-Q-Q3-2022-(as-filed).pdf" TargetMode="External"/><Relationship Id="rId6" Type="http://schemas.openxmlformats.org/officeDocument/2006/relationships/hyperlink" Target="https://ebay.q4cdn.com/610426115/files/doc_financials/2020/q4/Exhibit-99.1-ER-eBay-Q4-2020_FINAL.pdf" TargetMode="External"/><Relationship Id="rId11" Type="http://schemas.openxmlformats.org/officeDocument/2006/relationships/hyperlink" Target="https://ebay.q4cdn.com/610426115/files/doc_financials/financials/2018/q4/Exhibit-99.1-ER-eBay-Q4-2018_FINAL.pdf" TargetMode="External"/><Relationship Id="rId5" Type="http://schemas.openxmlformats.org/officeDocument/2006/relationships/hyperlink" Target="https://ebay.q4cdn.com/610426115/files/doc_financials/2021/q4/Exhibit-99.1-ER-eBay-Q4-2021-Final.pdf" TargetMode="External"/><Relationship Id="rId15" Type="http://schemas.openxmlformats.org/officeDocument/2006/relationships/hyperlink" Target="https://ebay.q4cdn.com/610426115/files/doc_financials/financials/2018/EBAY_News_2018_4_25_Earnings.pdf" TargetMode="External"/><Relationship Id="rId10" Type="http://schemas.openxmlformats.org/officeDocument/2006/relationships/hyperlink" Target="https://ebay.q4cdn.com/610426115/files/doc_financials/2020/q1/Exhibit-99.1-ER-eBay-Q1-2020_FINAL.pdf" TargetMode="External"/><Relationship Id="rId19" Type="http://schemas.openxmlformats.org/officeDocument/2006/relationships/printerSettings" Target="../printerSettings/printerSettings2.bin"/><Relationship Id="rId4" Type="http://schemas.openxmlformats.org/officeDocument/2006/relationships/hyperlink" Target="https://ebay.q4cdn.com/610426115/files/doc_financials/2021/q4/Exhibit-99.1-ER-eBay-Q4-2021-Final.pdf" TargetMode="External"/><Relationship Id="rId9" Type="http://schemas.openxmlformats.org/officeDocument/2006/relationships/hyperlink" Target="https://ebay.q4cdn.com/610426115/files/doc_financials/2020/q2/Exhibit-99.1-ER-eBay-Q2-2020_FINAL.pdf" TargetMode="External"/><Relationship Id="rId14" Type="http://schemas.openxmlformats.org/officeDocument/2006/relationships/hyperlink" Target="https://ebay.q4cdn.com/610426115/files/doc_financials/financials/2018/Exhibit_99.1_ER_eBay_Q2_2018_FINAL.PDF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ebay.q4cdn.com/610426115/files/doc_financials/2022/q4/Exhibit-99.1-ER-eBay-Q4-2022-Final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53D84-D285-44E7-B4A8-68B201033445}">
  <dimension ref="B2:O38"/>
  <sheetViews>
    <sheetView topLeftCell="A3" workbookViewId="0">
      <selection activeCell="J41" sqref="J41"/>
    </sheetView>
  </sheetViews>
  <sheetFormatPr baseColWidth="10" defaultColWidth="9.1640625" defaultRowHeight="13"/>
  <cols>
    <col min="1" max="16384" width="9.1640625" style="1"/>
  </cols>
  <sheetData>
    <row r="2" spans="2:15">
      <c r="B2" s="2" t="s">
        <v>0</v>
      </c>
    </row>
    <row r="3" spans="2:15">
      <c r="B3" s="2" t="s">
        <v>1</v>
      </c>
    </row>
    <row r="5" spans="2:15">
      <c r="B5" s="72" t="s">
        <v>2</v>
      </c>
      <c r="C5" s="73"/>
      <c r="D5" s="74"/>
      <c r="G5" s="72" t="s">
        <v>20</v>
      </c>
      <c r="H5" s="73"/>
      <c r="I5" s="73"/>
      <c r="J5" s="73"/>
      <c r="K5" s="73"/>
      <c r="L5" s="73"/>
      <c r="M5" s="73"/>
      <c r="N5" s="73"/>
      <c r="O5" s="74"/>
    </row>
    <row r="6" spans="2:15">
      <c r="B6" s="3" t="s">
        <v>3</v>
      </c>
      <c r="C6" s="1">
        <v>45.35</v>
      </c>
      <c r="D6" s="23"/>
      <c r="G6" s="13"/>
      <c r="H6" s="11"/>
      <c r="I6" s="11"/>
      <c r="J6" s="11"/>
      <c r="K6" s="11"/>
      <c r="L6" s="11"/>
      <c r="M6" s="11"/>
      <c r="N6" s="11"/>
      <c r="O6" s="12"/>
    </row>
    <row r="7" spans="2:15">
      <c r="B7" s="3" t="s">
        <v>4</v>
      </c>
      <c r="C7" s="5">
        <f>'Financial Model'!Z22</f>
        <v>541</v>
      </c>
      <c r="D7" s="23" t="str">
        <f>$C$28</f>
        <v>Q422</v>
      </c>
      <c r="G7" s="13"/>
      <c r="H7" s="11"/>
      <c r="I7" s="11"/>
      <c r="J7" s="11"/>
      <c r="K7" s="11"/>
      <c r="L7" s="11"/>
      <c r="M7" s="11"/>
      <c r="N7" s="11"/>
      <c r="O7" s="12"/>
    </row>
    <row r="8" spans="2:15">
      <c r="B8" s="3" t="s">
        <v>5</v>
      </c>
      <c r="C8" s="5">
        <f>C6*C7</f>
        <v>24534.350000000002</v>
      </c>
      <c r="D8" s="23"/>
      <c r="G8" s="13"/>
      <c r="H8" s="11"/>
      <c r="I8" s="11"/>
      <c r="J8" s="11"/>
      <c r="K8" s="11"/>
      <c r="L8" s="11"/>
      <c r="M8" s="11"/>
      <c r="N8" s="11"/>
      <c r="O8" s="12"/>
    </row>
    <row r="9" spans="2:15">
      <c r="B9" s="3" t="s">
        <v>6</v>
      </c>
      <c r="C9" s="5">
        <f>'Financial Model'!Z70</f>
        <v>4779</v>
      </c>
      <c r="D9" s="23" t="str">
        <f t="shared" ref="D9:D11" si="0">$C$28</f>
        <v>Q422</v>
      </c>
      <c r="G9" s="13"/>
      <c r="H9" s="11"/>
      <c r="I9" s="11"/>
      <c r="J9" s="11"/>
      <c r="K9" s="11"/>
      <c r="L9" s="11"/>
      <c r="M9" s="11"/>
      <c r="N9" s="11"/>
      <c r="O9" s="12"/>
    </row>
    <row r="10" spans="2:15">
      <c r="B10" s="3" t="s">
        <v>7</v>
      </c>
      <c r="C10" s="5">
        <f>'Financial Model'!Z71</f>
        <v>8871</v>
      </c>
      <c r="D10" s="23" t="str">
        <f t="shared" si="0"/>
        <v>Q422</v>
      </c>
      <c r="G10" s="13"/>
      <c r="H10" s="11"/>
      <c r="I10" s="11"/>
      <c r="J10" s="11"/>
      <c r="K10" s="11"/>
      <c r="L10" s="11"/>
      <c r="M10" s="11"/>
      <c r="N10" s="11"/>
      <c r="O10" s="12"/>
    </row>
    <row r="11" spans="2:15">
      <c r="B11" s="3" t="s">
        <v>8</v>
      </c>
      <c r="C11" s="5">
        <f>C9-C10</f>
        <v>-4092</v>
      </c>
      <c r="D11" s="23" t="str">
        <f t="shared" si="0"/>
        <v>Q422</v>
      </c>
      <c r="G11" s="13"/>
      <c r="H11" s="11"/>
      <c r="I11" s="11"/>
      <c r="J11" s="11"/>
      <c r="K11" s="11"/>
      <c r="L11" s="11"/>
      <c r="M11" s="11"/>
      <c r="N11" s="11"/>
      <c r="O11" s="12"/>
    </row>
    <row r="12" spans="2:15">
      <c r="B12" s="4" t="s">
        <v>9</v>
      </c>
      <c r="C12" s="6">
        <f>C8-C11</f>
        <v>28626.350000000002</v>
      </c>
      <c r="D12" s="24"/>
      <c r="G12" s="13"/>
      <c r="H12" s="11"/>
      <c r="I12" s="11"/>
      <c r="J12" s="11"/>
      <c r="K12" s="11"/>
      <c r="L12" s="11"/>
      <c r="M12" s="11"/>
      <c r="N12" s="11"/>
      <c r="O12" s="12"/>
    </row>
    <row r="13" spans="2:15">
      <c r="G13" s="13"/>
      <c r="H13" s="11"/>
      <c r="I13" s="11"/>
      <c r="J13" s="11"/>
      <c r="K13" s="11"/>
      <c r="L13" s="11"/>
      <c r="M13" s="11"/>
      <c r="N13" s="11"/>
      <c r="O13" s="12"/>
    </row>
    <row r="14" spans="2:15">
      <c r="G14" s="13"/>
      <c r="H14" s="11"/>
      <c r="I14" s="11"/>
      <c r="J14" s="11"/>
      <c r="K14" s="11"/>
      <c r="L14" s="11"/>
      <c r="M14" s="11"/>
      <c r="N14" s="11"/>
      <c r="O14" s="12"/>
    </row>
    <row r="15" spans="2:15">
      <c r="B15" s="72" t="s">
        <v>10</v>
      </c>
      <c r="C15" s="73"/>
      <c r="D15" s="74"/>
      <c r="G15" s="13"/>
      <c r="H15" s="11"/>
      <c r="I15" s="11"/>
      <c r="J15" s="11"/>
      <c r="K15" s="11"/>
      <c r="L15" s="11"/>
      <c r="M15" s="11"/>
      <c r="N15" s="11"/>
      <c r="O15" s="12"/>
    </row>
    <row r="16" spans="2:15">
      <c r="B16" s="7" t="s">
        <v>11</v>
      </c>
      <c r="C16" s="75" t="s">
        <v>60</v>
      </c>
      <c r="D16" s="76"/>
      <c r="G16" s="13"/>
      <c r="H16" s="11"/>
      <c r="I16" s="11"/>
      <c r="J16" s="11"/>
      <c r="K16" s="11"/>
      <c r="L16" s="11"/>
      <c r="M16" s="11"/>
      <c r="N16" s="11"/>
      <c r="O16" s="12"/>
    </row>
    <row r="17" spans="2:15">
      <c r="B17" s="7" t="s">
        <v>12</v>
      </c>
      <c r="C17" s="75" t="s">
        <v>61</v>
      </c>
      <c r="D17" s="76"/>
      <c r="G17" s="13"/>
      <c r="H17" s="11"/>
      <c r="I17" s="11"/>
      <c r="J17" s="11"/>
      <c r="K17" s="11"/>
      <c r="L17" s="11"/>
      <c r="M17" s="11"/>
      <c r="N17" s="11"/>
      <c r="O17" s="12"/>
    </row>
    <row r="18" spans="2:15">
      <c r="B18" s="7"/>
      <c r="C18" s="75"/>
      <c r="D18" s="76"/>
      <c r="G18" s="13"/>
      <c r="H18" s="11"/>
      <c r="I18" s="11"/>
      <c r="J18" s="11"/>
      <c r="K18" s="11"/>
      <c r="L18" s="11"/>
      <c r="M18" s="11"/>
      <c r="N18" s="11"/>
      <c r="O18" s="12"/>
    </row>
    <row r="19" spans="2:15">
      <c r="B19" s="8" t="s">
        <v>13</v>
      </c>
      <c r="C19" s="68" t="s">
        <v>62</v>
      </c>
      <c r="D19" s="69"/>
      <c r="G19" s="13"/>
      <c r="H19" s="11"/>
      <c r="I19" s="11"/>
      <c r="J19" s="11"/>
      <c r="K19" s="11"/>
      <c r="L19" s="11"/>
      <c r="M19" s="11"/>
      <c r="N19" s="11"/>
      <c r="O19" s="12"/>
    </row>
    <row r="20" spans="2:15">
      <c r="G20" s="13"/>
      <c r="H20" s="11"/>
      <c r="I20" s="11"/>
      <c r="J20" s="11"/>
      <c r="K20" s="11"/>
      <c r="L20" s="11"/>
      <c r="M20" s="11"/>
      <c r="N20" s="11"/>
      <c r="O20" s="12"/>
    </row>
    <row r="21" spans="2:15">
      <c r="G21" s="13"/>
      <c r="H21" s="11"/>
      <c r="I21" s="11"/>
      <c r="J21" s="11"/>
      <c r="K21" s="11"/>
      <c r="L21" s="11"/>
      <c r="M21" s="11"/>
      <c r="N21" s="11"/>
      <c r="O21" s="12"/>
    </row>
    <row r="22" spans="2:15">
      <c r="B22" s="72" t="s">
        <v>14</v>
      </c>
      <c r="C22" s="73"/>
      <c r="D22" s="74"/>
      <c r="G22" s="13"/>
      <c r="H22" s="11"/>
      <c r="I22" s="11"/>
      <c r="J22" s="11"/>
      <c r="K22" s="11"/>
      <c r="L22" s="11"/>
      <c r="M22" s="11"/>
      <c r="N22" s="11"/>
      <c r="O22" s="12"/>
    </row>
    <row r="23" spans="2:15">
      <c r="B23" s="9" t="s">
        <v>15</v>
      </c>
      <c r="C23" s="75" t="s">
        <v>21</v>
      </c>
      <c r="D23" s="76"/>
      <c r="G23" s="13"/>
      <c r="H23" s="11"/>
      <c r="I23" s="11"/>
      <c r="J23" s="11"/>
      <c r="K23" s="11"/>
      <c r="L23" s="11"/>
      <c r="M23" s="11"/>
      <c r="N23" s="11"/>
      <c r="O23" s="12"/>
    </row>
    <row r="24" spans="2:15">
      <c r="B24" s="9" t="s">
        <v>16</v>
      </c>
      <c r="C24" s="75">
        <v>1995</v>
      </c>
      <c r="D24" s="76"/>
      <c r="G24" s="13"/>
      <c r="H24" s="11"/>
      <c r="I24" s="11"/>
      <c r="J24" s="11"/>
      <c r="K24" s="11"/>
      <c r="L24" s="11"/>
      <c r="M24" s="11"/>
      <c r="N24" s="11"/>
      <c r="O24" s="12"/>
    </row>
    <row r="25" spans="2:15">
      <c r="B25" s="9" t="s">
        <v>17</v>
      </c>
      <c r="C25" s="75">
        <v>1998</v>
      </c>
      <c r="D25" s="76"/>
      <c r="G25" s="13"/>
      <c r="H25" s="11"/>
      <c r="I25" s="11"/>
      <c r="J25" s="11"/>
      <c r="K25" s="11"/>
      <c r="L25" s="11"/>
      <c r="M25" s="11"/>
      <c r="N25" s="11"/>
      <c r="O25" s="12"/>
    </row>
    <row r="26" spans="2:15">
      <c r="B26" s="9"/>
      <c r="C26" s="17"/>
      <c r="D26" s="18"/>
      <c r="G26" s="13"/>
      <c r="H26" s="11"/>
      <c r="I26" s="11"/>
      <c r="J26" s="11"/>
      <c r="K26" s="11"/>
      <c r="L26" s="11"/>
      <c r="M26" s="11"/>
      <c r="N26" s="11"/>
      <c r="O26" s="12"/>
    </row>
    <row r="27" spans="2:15">
      <c r="B27" s="9"/>
      <c r="C27" s="75"/>
      <c r="D27" s="76"/>
      <c r="G27" s="13"/>
      <c r="H27" s="11"/>
      <c r="I27" s="11"/>
      <c r="J27" s="11"/>
      <c r="K27" s="11"/>
      <c r="L27" s="11"/>
      <c r="M27" s="11"/>
      <c r="N27" s="11"/>
      <c r="O27" s="12"/>
    </row>
    <row r="28" spans="2:15">
      <c r="B28" s="9" t="s">
        <v>18</v>
      </c>
      <c r="C28" s="17" t="s">
        <v>41</v>
      </c>
      <c r="D28" s="36">
        <v>44593</v>
      </c>
      <c r="G28" s="13"/>
      <c r="H28" s="11"/>
      <c r="I28" s="11"/>
      <c r="J28" s="11"/>
      <c r="K28" s="11"/>
      <c r="L28" s="11"/>
      <c r="M28" s="11"/>
      <c r="N28" s="11"/>
      <c r="O28" s="12"/>
    </row>
    <row r="29" spans="2:15">
      <c r="B29" s="10" t="s">
        <v>19</v>
      </c>
      <c r="C29" s="70" t="s">
        <v>59</v>
      </c>
      <c r="D29" s="71"/>
      <c r="G29" s="14"/>
      <c r="H29" s="15"/>
      <c r="I29" s="15"/>
      <c r="J29" s="15"/>
      <c r="K29" s="15"/>
      <c r="L29" s="15"/>
      <c r="M29" s="15"/>
      <c r="N29" s="15"/>
      <c r="O29" s="16"/>
    </row>
    <row r="32" spans="2:15">
      <c r="B32" s="72" t="s">
        <v>63</v>
      </c>
      <c r="C32" s="73"/>
      <c r="D32" s="74"/>
    </row>
    <row r="33" spans="2:4">
      <c r="B33" s="9" t="s">
        <v>64</v>
      </c>
      <c r="C33" s="66">
        <f>C6/'Financial Model'!Y68</f>
        <v>5.071005480208119</v>
      </c>
      <c r="D33" s="67"/>
    </row>
    <row r="34" spans="2:4">
      <c r="B34" s="9" t="s">
        <v>65</v>
      </c>
      <c r="C34" s="66">
        <f>C8/SUM('Financial Model'!V4:Y4)</f>
        <v>2.4787179228126894</v>
      </c>
      <c r="D34" s="67"/>
    </row>
    <row r="35" spans="2:4">
      <c r="B35" s="9" t="s">
        <v>66</v>
      </c>
      <c r="C35" s="66">
        <f>C12/SUM('Financial Model'!V4:Y4)</f>
        <v>2.8921347747019603</v>
      </c>
      <c r="D35" s="67"/>
    </row>
    <row r="36" spans="2:4">
      <c r="B36" s="9" t="s">
        <v>67</v>
      </c>
      <c r="C36" s="66">
        <f>C6/SUM('Financial Model'!V21:Y21)</f>
        <v>-385.92410461281213</v>
      </c>
      <c r="D36" s="67"/>
    </row>
    <row r="37" spans="2:4">
      <c r="B37" s="9" t="s">
        <v>68</v>
      </c>
      <c r="C37" s="66">
        <f>C12/SUM('Financial Model'!V20:Y20)</f>
        <v>1022.3696428571429</v>
      </c>
      <c r="D37" s="67"/>
    </row>
    <row r="38" spans="2:4">
      <c r="B38" s="10" t="s">
        <v>69</v>
      </c>
      <c r="C38" s="68"/>
      <c r="D38" s="69"/>
    </row>
  </sheetData>
  <mergeCells count="20">
    <mergeCell ref="G5:O5"/>
    <mergeCell ref="B32:D32"/>
    <mergeCell ref="C33:D33"/>
    <mergeCell ref="C34:D34"/>
    <mergeCell ref="B22:D22"/>
    <mergeCell ref="C23:D23"/>
    <mergeCell ref="C24:D24"/>
    <mergeCell ref="C25:D25"/>
    <mergeCell ref="C27:D27"/>
    <mergeCell ref="B5:D5"/>
    <mergeCell ref="B15:D15"/>
    <mergeCell ref="C16:D16"/>
    <mergeCell ref="C17:D17"/>
    <mergeCell ref="C18:D18"/>
    <mergeCell ref="C19:D19"/>
    <mergeCell ref="C35:D35"/>
    <mergeCell ref="C36:D36"/>
    <mergeCell ref="C37:D37"/>
    <mergeCell ref="C38:D38"/>
    <mergeCell ref="C29:D29"/>
  </mergeCells>
  <hyperlinks>
    <hyperlink ref="C29:D29" r:id="rId1" display="Link" xr:uid="{D9973FEA-B39E-4DD3-8417-80042015C44B}"/>
  </hyperlinks>
  <pageMargins left="0.7" right="0.7" top="0.75" bottom="0.75" header="0.3" footer="0.3"/>
  <pageSetup paperSize="256" orientation="portrait" horizontalDpi="203" verticalDpi="203" r:id="rId2"/>
  <ignoredErrors>
    <ignoredError sqref="C34:C35" formulaRange="1"/>
  </ignoredError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A9FF5-18B2-4F1B-8BED-7AF64467FA45}">
  <dimension ref="A1:CP83"/>
  <sheetViews>
    <sheetView tabSelected="1" workbookViewId="0">
      <pane xSplit="2" ySplit="3" topLeftCell="AC4" activePane="bottomRight" state="frozen"/>
      <selection pane="topRight" activeCell="C1" sqref="C1"/>
      <selection pane="bottomLeft" activeCell="A4" sqref="A4"/>
      <selection pane="bottomRight" activeCell="AW24" sqref="AW24"/>
    </sheetView>
  </sheetViews>
  <sheetFormatPr baseColWidth="10" defaultColWidth="9.1640625" defaultRowHeight="13"/>
  <cols>
    <col min="1" max="1" width="6.5" style="1" bestFit="1" customWidth="1"/>
    <col min="2" max="2" width="28.5" style="1" bestFit="1" customWidth="1"/>
    <col min="3" max="25" width="9.1640625" style="1"/>
    <col min="26" max="26" width="9.1640625" style="85"/>
    <col min="27" max="35" width="9.1640625" style="1"/>
    <col min="36" max="36" width="9.1640625" style="86"/>
    <col min="37" max="37" width="9.1640625" style="40"/>
    <col min="38" max="46" width="9.1640625" style="34"/>
    <col min="47" max="47" width="9.1640625" style="1"/>
    <col min="48" max="48" width="17.5" style="1" bestFit="1" customWidth="1"/>
    <col min="49" max="49" width="10.1640625" style="1" bestFit="1" customWidth="1"/>
    <col min="50" max="16384" width="9.1640625" style="1"/>
  </cols>
  <sheetData>
    <row r="1" spans="2:46" s="20" customFormat="1">
      <c r="C1" s="20" t="s">
        <v>127</v>
      </c>
      <c r="D1" s="20" t="s">
        <v>128</v>
      </c>
      <c r="E1" s="20" t="s">
        <v>129</v>
      </c>
      <c r="F1" s="20" t="s">
        <v>130</v>
      </c>
      <c r="G1" s="25" t="s">
        <v>22</v>
      </c>
      <c r="H1" s="25" t="s">
        <v>23</v>
      </c>
      <c r="I1" s="25" t="s">
        <v>24</v>
      </c>
      <c r="J1" s="25" t="s">
        <v>25</v>
      </c>
      <c r="K1" s="20" t="s">
        <v>26</v>
      </c>
      <c r="L1" s="20" t="s">
        <v>27</v>
      </c>
      <c r="M1" s="20" t="s">
        <v>28</v>
      </c>
      <c r="N1" s="20" t="s">
        <v>29</v>
      </c>
      <c r="O1" s="25" t="s">
        <v>30</v>
      </c>
      <c r="P1" s="25" t="s">
        <v>31</v>
      </c>
      <c r="Q1" s="25" t="s">
        <v>32</v>
      </c>
      <c r="R1" s="25" t="s">
        <v>33</v>
      </c>
      <c r="S1" s="20" t="s">
        <v>34</v>
      </c>
      <c r="T1" s="20" t="s">
        <v>35</v>
      </c>
      <c r="U1" s="20" t="s">
        <v>36</v>
      </c>
      <c r="V1" s="25" t="s">
        <v>37</v>
      </c>
      <c r="W1" s="25" t="s">
        <v>38</v>
      </c>
      <c r="X1" s="37" t="s">
        <v>39</v>
      </c>
      <c r="Y1" s="25" t="s">
        <v>40</v>
      </c>
      <c r="Z1" s="77" t="s">
        <v>41</v>
      </c>
      <c r="AC1" s="20" t="s">
        <v>126</v>
      </c>
      <c r="AD1" s="25" t="s">
        <v>42</v>
      </c>
      <c r="AE1" s="20" t="s">
        <v>43</v>
      </c>
      <c r="AF1" s="25" t="s">
        <v>44</v>
      </c>
      <c r="AG1" s="20" t="s">
        <v>45</v>
      </c>
      <c r="AH1" s="25" t="s">
        <v>46</v>
      </c>
      <c r="AI1" s="25" t="s">
        <v>47</v>
      </c>
      <c r="AJ1" s="77" t="s">
        <v>48</v>
      </c>
      <c r="AK1" s="41" t="s">
        <v>49</v>
      </c>
      <c r="AL1" s="58" t="s">
        <v>50</v>
      </c>
      <c r="AM1" s="58" t="s">
        <v>51</v>
      </c>
      <c r="AN1" s="58" t="s">
        <v>52</v>
      </c>
      <c r="AO1" s="58" t="s">
        <v>53</v>
      </c>
      <c r="AP1" s="58" t="s">
        <v>54</v>
      </c>
      <c r="AQ1" s="58" t="s">
        <v>55</v>
      </c>
      <c r="AR1" s="58" t="s">
        <v>56</v>
      </c>
      <c r="AS1" s="58" t="s">
        <v>57</v>
      </c>
      <c r="AT1" s="58" t="s">
        <v>58</v>
      </c>
    </row>
    <row r="2" spans="2:46" s="22" customFormat="1">
      <c r="B2" s="21"/>
      <c r="C2" s="27">
        <v>42825</v>
      </c>
      <c r="D2" s="27">
        <v>42916</v>
      </c>
      <c r="E2" s="27">
        <v>43008</v>
      </c>
      <c r="F2" s="27">
        <v>43100</v>
      </c>
      <c r="G2" s="27">
        <v>43190</v>
      </c>
      <c r="H2" s="27">
        <v>43281</v>
      </c>
      <c r="I2" s="27">
        <v>43373</v>
      </c>
      <c r="J2" s="27">
        <v>43465</v>
      </c>
      <c r="K2" s="27">
        <v>43555</v>
      </c>
      <c r="L2" s="27">
        <v>43646</v>
      </c>
      <c r="M2" s="27">
        <v>43738</v>
      </c>
      <c r="N2" s="27">
        <v>43830</v>
      </c>
      <c r="O2" s="27">
        <v>43921</v>
      </c>
      <c r="P2" s="27">
        <v>44012</v>
      </c>
      <c r="Q2" s="27">
        <v>44104</v>
      </c>
      <c r="R2" s="27">
        <v>44196</v>
      </c>
      <c r="S2" s="27">
        <v>44286</v>
      </c>
      <c r="T2" s="27">
        <v>44377</v>
      </c>
      <c r="U2" s="27">
        <v>44469</v>
      </c>
      <c r="V2" s="27">
        <v>44561</v>
      </c>
      <c r="W2" s="27">
        <v>44651</v>
      </c>
      <c r="X2" s="27">
        <v>44742</v>
      </c>
      <c r="Y2" s="27">
        <v>44834</v>
      </c>
      <c r="Z2" s="87">
        <v>44926</v>
      </c>
      <c r="AC2" s="27">
        <v>42369</v>
      </c>
      <c r="AD2" s="27">
        <v>42735</v>
      </c>
      <c r="AE2" s="27">
        <f>F2</f>
        <v>43100</v>
      </c>
      <c r="AF2" s="27">
        <f>J2</f>
        <v>43465</v>
      </c>
      <c r="AG2" s="27">
        <f>N2</f>
        <v>43830</v>
      </c>
      <c r="AH2" s="27">
        <f>R2</f>
        <v>44196</v>
      </c>
      <c r="AI2" s="27">
        <v>44561</v>
      </c>
      <c r="AJ2" s="78">
        <f>Z2</f>
        <v>44926</v>
      </c>
      <c r="AK2" s="42"/>
      <c r="AL2" s="59"/>
      <c r="AM2" s="59"/>
      <c r="AN2" s="59"/>
      <c r="AO2" s="59"/>
      <c r="AP2" s="59"/>
      <c r="AQ2" s="59"/>
      <c r="AR2" s="59"/>
      <c r="AS2" s="59"/>
      <c r="AT2" s="59"/>
    </row>
    <row r="3" spans="2:46" s="22" customFormat="1">
      <c r="B3" s="21"/>
      <c r="G3" s="26">
        <v>45748</v>
      </c>
      <c r="H3" s="26">
        <v>43282</v>
      </c>
      <c r="I3" s="26">
        <v>11232</v>
      </c>
      <c r="J3" s="26">
        <v>47119</v>
      </c>
      <c r="O3" s="26">
        <v>47209</v>
      </c>
      <c r="P3" s="26">
        <v>46935</v>
      </c>
      <c r="Q3" s="26">
        <v>47027</v>
      </c>
      <c r="R3" s="26">
        <v>37653</v>
      </c>
      <c r="V3" s="26">
        <v>44958</v>
      </c>
      <c r="W3" s="26">
        <v>38108</v>
      </c>
      <c r="X3" s="26">
        <v>37834</v>
      </c>
      <c r="Y3" s="26">
        <v>37561</v>
      </c>
      <c r="Z3" s="88">
        <v>44593</v>
      </c>
      <c r="AD3" s="26">
        <v>45658</v>
      </c>
      <c r="AF3" s="26">
        <f>J3</f>
        <v>47119</v>
      </c>
      <c r="AH3" s="26">
        <f>R3</f>
        <v>37653</v>
      </c>
      <c r="AI3" s="26">
        <v>44958</v>
      </c>
      <c r="AJ3" s="79">
        <f>Z3</f>
        <v>44593</v>
      </c>
      <c r="AK3" s="42"/>
      <c r="AL3" s="59"/>
      <c r="AM3" s="59"/>
      <c r="AN3" s="59"/>
      <c r="AO3" s="59"/>
      <c r="AP3" s="59"/>
      <c r="AQ3" s="59"/>
      <c r="AR3" s="59"/>
      <c r="AS3" s="59"/>
      <c r="AT3" s="59"/>
    </row>
    <row r="4" spans="2:46" s="2" customFormat="1">
      <c r="B4" s="2" t="s">
        <v>72</v>
      </c>
      <c r="C4" s="28">
        <v>2303</v>
      </c>
      <c r="D4" s="28">
        <v>2419</v>
      </c>
      <c r="E4" s="28">
        <v>2498</v>
      </c>
      <c r="F4" s="28">
        <v>2707</v>
      </c>
      <c r="G4" s="28">
        <v>2580</v>
      </c>
      <c r="H4" s="28">
        <v>2640</v>
      </c>
      <c r="I4" s="28">
        <v>2649</v>
      </c>
      <c r="J4" s="28">
        <v>2877</v>
      </c>
      <c r="K4" s="28">
        <v>2413</v>
      </c>
      <c r="L4" s="28">
        <v>2423</v>
      </c>
      <c r="M4" s="28">
        <v>2083</v>
      </c>
      <c r="N4" s="28">
        <v>2236</v>
      </c>
      <c r="O4" s="28">
        <v>2374</v>
      </c>
      <c r="P4" s="28">
        <v>2865</v>
      </c>
      <c r="Q4" s="28">
        <v>2606</v>
      </c>
      <c r="R4" s="28">
        <v>2868</v>
      </c>
      <c r="S4" s="28">
        <v>2638</v>
      </c>
      <c r="T4" s="28">
        <v>2668</v>
      </c>
      <c r="U4" s="28">
        <v>2501</v>
      </c>
      <c r="V4" s="28">
        <v>2613</v>
      </c>
      <c r="W4" s="28">
        <v>2483</v>
      </c>
      <c r="X4" s="28">
        <v>2422</v>
      </c>
      <c r="Y4" s="28">
        <v>2380</v>
      </c>
      <c r="Z4" s="89">
        <v>2510</v>
      </c>
      <c r="AC4" s="28">
        <v>8592</v>
      </c>
      <c r="AD4" s="28">
        <v>8979</v>
      </c>
      <c r="AE4" s="28">
        <f>SUM(C4:F4)</f>
        <v>9927</v>
      </c>
      <c r="AF4" s="28">
        <f>SUM(G4:J4)</f>
        <v>10746</v>
      </c>
      <c r="AG4" s="28">
        <f>SUM(K4:N4)</f>
        <v>9155</v>
      </c>
      <c r="AH4" s="28">
        <f>SUM(O4:R4)</f>
        <v>10713</v>
      </c>
      <c r="AI4" s="28">
        <f>SUM(S4:V4)</f>
        <v>10420</v>
      </c>
      <c r="AJ4" s="80">
        <f>SUM(W4:Z4)</f>
        <v>9795</v>
      </c>
      <c r="AK4" s="47">
        <f>AJ4*1*(1+AK24)</f>
        <v>9697.0499999999993</v>
      </c>
      <c r="AL4" s="60">
        <f t="shared" ref="AL4:AT4" si="0">AK4*1*(1+AL24)</f>
        <v>9794.0204999999987</v>
      </c>
      <c r="AM4" s="60">
        <f t="shared" si="0"/>
        <v>9989.9009099999985</v>
      </c>
      <c r="AN4" s="60">
        <f t="shared" si="0"/>
        <v>10189.6989282</v>
      </c>
      <c r="AO4" s="60">
        <f t="shared" si="0"/>
        <v>10393.492906764001</v>
      </c>
      <c r="AP4" s="60">
        <f t="shared" si="0"/>
        <v>10601.362764899281</v>
      </c>
      <c r="AQ4" s="60">
        <f t="shared" si="0"/>
        <v>10707.376392548273</v>
      </c>
      <c r="AR4" s="60">
        <f t="shared" si="0"/>
        <v>10814.450156473755</v>
      </c>
      <c r="AS4" s="60">
        <f t="shared" si="0"/>
        <v>10922.594658038492</v>
      </c>
      <c r="AT4" s="60">
        <f t="shared" si="0"/>
        <v>11031.820604618877</v>
      </c>
    </row>
    <row r="5" spans="2:46">
      <c r="B5" s="1" t="s">
        <v>73</v>
      </c>
      <c r="C5" s="29">
        <v>514</v>
      </c>
      <c r="D5" s="29">
        <v>560</v>
      </c>
      <c r="E5" s="29">
        <v>557</v>
      </c>
      <c r="F5" s="29">
        <v>590</v>
      </c>
      <c r="G5" s="29">
        <v>559</v>
      </c>
      <c r="H5" s="29">
        <v>597</v>
      </c>
      <c r="I5" s="29">
        <v>608</v>
      </c>
      <c r="J5" s="29">
        <v>618</v>
      </c>
      <c r="K5" s="29">
        <v>539</v>
      </c>
      <c r="L5" s="29">
        <v>553</v>
      </c>
      <c r="M5" s="29">
        <v>530</v>
      </c>
      <c r="N5" s="29">
        <v>556</v>
      </c>
      <c r="O5" s="29">
        <v>526</v>
      </c>
      <c r="P5" s="29">
        <v>598</v>
      </c>
      <c r="Q5" s="29">
        <v>656</v>
      </c>
      <c r="R5" s="29">
        <v>742</v>
      </c>
      <c r="S5" s="29">
        <v>606</v>
      </c>
      <c r="T5" s="29">
        <v>672</v>
      </c>
      <c r="U5" s="29">
        <v>678</v>
      </c>
      <c r="V5" s="29">
        <v>694</v>
      </c>
      <c r="W5" s="29">
        <v>689</v>
      </c>
      <c r="X5" s="29">
        <v>663</v>
      </c>
      <c r="Y5" s="29">
        <v>647</v>
      </c>
      <c r="Z5" s="90">
        <v>681</v>
      </c>
      <c r="AC5" s="29">
        <v>1771</v>
      </c>
      <c r="AD5" s="29">
        <v>2007</v>
      </c>
      <c r="AE5" s="29">
        <f>SUM(C5:F5)</f>
        <v>2221</v>
      </c>
      <c r="AF5" s="29">
        <f>SUM(G5:J5)</f>
        <v>2382</v>
      </c>
      <c r="AG5" s="29">
        <f>SUM(K5:N5)</f>
        <v>2178</v>
      </c>
      <c r="AH5" s="29">
        <f>SUM(O5:R5)</f>
        <v>2522</v>
      </c>
      <c r="AI5" s="29">
        <f>SUM(S5:V5)</f>
        <v>2650</v>
      </c>
      <c r="AJ5" s="81">
        <f>SUM(W5:Z5)</f>
        <v>2680</v>
      </c>
      <c r="AK5" s="44">
        <f>AK4*(1-AK27)</f>
        <v>2618.2035000000001</v>
      </c>
      <c r="AL5" s="35">
        <f t="shared" ref="AL5:AT5" si="1">AL4*(1-AL27)</f>
        <v>2644.3855349999999</v>
      </c>
      <c r="AM5" s="35">
        <f t="shared" si="1"/>
        <v>2597.3742365999997</v>
      </c>
      <c r="AN5" s="35">
        <f t="shared" si="1"/>
        <v>2547.4247320499999</v>
      </c>
      <c r="AO5" s="35">
        <f t="shared" si="1"/>
        <v>2598.3732266910001</v>
      </c>
      <c r="AP5" s="35">
        <f t="shared" si="1"/>
        <v>2650.3406912248201</v>
      </c>
      <c r="AQ5" s="35">
        <f t="shared" si="1"/>
        <v>2676.8440981370682</v>
      </c>
      <c r="AR5" s="35">
        <f t="shared" si="1"/>
        <v>2703.6125391184387</v>
      </c>
      <c r="AS5" s="35">
        <f t="shared" si="1"/>
        <v>2730.6486645096229</v>
      </c>
      <c r="AT5" s="35">
        <f t="shared" si="1"/>
        <v>2757.9551511547193</v>
      </c>
    </row>
    <row r="6" spans="2:46" s="2" customFormat="1">
      <c r="B6" s="2" t="s">
        <v>74</v>
      </c>
      <c r="C6" s="28">
        <f t="shared" ref="C6:F6" si="2">C4-C5</f>
        <v>1789</v>
      </c>
      <c r="D6" s="28">
        <f t="shared" si="2"/>
        <v>1859</v>
      </c>
      <c r="E6" s="28">
        <f t="shared" si="2"/>
        <v>1941</v>
      </c>
      <c r="F6" s="28">
        <f t="shared" si="2"/>
        <v>2117</v>
      </c>
      <c r="G6" s="28">
        <f t="shared" ref="G6:X6" si="3">G4-G5</f>
        <v>2021</v>
      </c>
      <c r="H6" s="28">
        <f t="shared" si="3"/>
        <v>2043</v>
      </c>
      <c r="I6" s="28">
        <f t="shared" si="3"/>
        <v>2041</v>
      </c>
      <c r="J6" s="28">
        <f t="shared" si="3"/>
        <v>2259</v>
      </c>
      <c r="K6" s="28">
        <f t="shared" si="3"/>
        <v>1874</v>
      </c>
      <c r="L6" s="28">
        <f t="shared" si="3"/>
        <v>1870</v>
      </c>
      <c r="M6" s="28">
        <f t="shared" si="3"/>
        <v>1553</v>
      </c>
      <c r="N6" s="28">
        <f t="shared" si="3"/>
        <v>1680</v>
      </c>
      <c r="O6" s="28">
        <f t="shared" si="3"/>
        <v>1848</v>
      </c>
      <c r="P6" s="28">
        <f t="shared" si="3"/>
        <v>2267</v>
      </c>
      <c r="Q6" s="28">
        <f t="shared" si="3"/>
        <v>1950</v>
      </c>
      <c r="R6" s="28">
        <f t="shared" si="3"/>
        <v>2126</v>
      </c>
      <c r="S6" s="28">
        <f t="shared" si="3"/>
        <v>2032</v>
      </c>
      <c r="T6" s="28">
        <f t="shared" si="3"/>
        <v>1996</v>
      </c>
      <c r="U6" s="28">
        <f t="shared" si="3"/>
        <v>1823</v>
      </c>
      <c r="V6" s="28">
        <f t="shared" si="3"/>
        <v>1919</v>
      </c>
      <c r="W6" s="28">
        <f t="shared" si="3"/>
        <v>1794</v>
      </c>
      <c r="X6" s="28">
        <f t="shared" si="3"/>
        <v>1759</v>
      </c>
      <c r="Y6" s="28">
        <f>Y4-Y5</f>
        <v>1733</v>
      </c>
      <c r="Z6" s="89">
        <f>Z4-Z5</f>
        <v>1829</v>
      </c>
      <c r="AC6" s="28">
        <f t="shared" ref="AC6" si="4">AC4-AC5</f>
        <v>6821</v>
      </c>
      <c r="AD6" s="28">
        <f t="shared" ref="AD6" si="5">AD4-AD5</f>
        <v>6972</v>
      </c>
      <c r="AE6" s="28">
        <f t="shared" ref="AE6:AF6" si="6">AE4-AE5</f>
        <v>7706</v>
      </c>
      <c r="AF6" s="28">
        <f t="shared" si="6"/>
        <v>8364</v>
      </c>
      <c r="AG6" s="28">
        <f>AG4-AG5</f>
        <v>6977</v>
      </c>
      <c r="AH6" s="28">
        <f>AH4-AH5</f>
        <v>8191</v>
      </c>
      <c r="AI6" s="28">
        <f>AI4-AI5</f>
        <v>7770</v>
      </c>
      <c r="AJ6" s="80">
        <f>AJ4-AJ5</f>
        <v>7115</v>
      </c>
      <c r="AK6" s="47">
        <f t="shared" ref="AK6:AT6" si="7">AK4-AK5</f>
        <v>7078.8464999999997</v>
      </c>
      <c r="AL6" s="60">
        <f t="shared" si="7"/>
        <v>7149.6349649999993</v>
      </c>
      <c r="AM6" s="60">
        <f t="shared" si="7"/>
        <v>7392.5266733999988</v>
      </c>
      <c r="AN6" s="60">
        <f t="shared" si="7"/>
        <v>7642.2741961499996</v>
      </c>
      <c r="AO6" s="60">
        <f t="shared" si="7"/>
        <v>7795.1196800730004</v>
      </c>
      <c r="AP6" s="60">
        <f t="shared" si="7"/>
        <v>7951.0220736744604</v>
      </c>
      <c r="AQ6" s="60">
        <f t="shared" si="7"/>
        <v>8030.5322944112049</v>
      </c>
      <c r="AR6" s="60">
        <f t="shared" si="7"/>
        <v>8110.8376173553161</v>
      </c>
      <c r="AS6" s="60">
        <f t="shared" si="7"/>
        <v>8191.9459935288687</v>
      </c>
      <c r="AT6" s="60">
        <f t="shared" si="7"/>
        <v>8273.8654534641573</v>
      </c>
    </row>
    <row r="7" spans="2:46">
      <c r="B7" s="1" t="s">
        <v>75</v>
      </c>
      <c r="C7" s="29">
        <v>648</v>
      </c>
      <c r="D7" s="29">
        <v>727</v>
      </c>
      <c r="E7" s="29">
        <v>719</v>
      </c>
      <c r="F7" s="29">
        <v>784</v>
      </c>
      <c r="G7" s="29">
        <v>756</v>
      </c>
      <c r="H7" s="29">
        <v>838</v>
      </c>
      <c r="I7" s="29">
        <v>852</v>
      </c>
      <c r="J7" s="29">
        <v>945</v>
      </c>
      <c r="K7" s="29">
        <v>647</v>
      </c>
      <c r="L7" s="29">
        <v>688</v>
      </c>
      <c r="M7" s="29">
        <v>577</v>
      </c>
      <c r="N7" s="29">
        <v>637</v>
      </c>
      <c r="O7" s="29">
        <v>607</v>
      </c>
      <c r="P7" s="29">
        <v>716</v>
      </c>
      <c r="Q7" s="29">
        <v>660</v>
      </c>
      <c r="R7" s="29">
        <v>804</v>
      </c>
      <c r="S7" s="29">
        <v>546</v>
      </c>
      <c r="T7" s="29">
        <v>559</v>
      </c>
      <c r="U7" s="29">
        <v>496</v>
      </c>
      <c r="V7" s="29">
        <v>569</v>
      </c>
      <c r="W7" s="29">
        <v>478</v>
      </c>
      <c r="X7" s="29">
        <v>566</v>
      </c>
      <c r="Y7" s="29">
        <v>538</v>
      </c>
      <c r="Z7" s="90">
        <v>554</v>
      </c>
      <c r="AC7" s="29">
        <v>2267</v>
      </c>
      <c r="AD7" s="29">
        <v>2368</v>
      </c>
      <c r="AE7" s="29">
        <f t="shared" ref="AE7:AE11" si="8">SUM(F7:I7)</f>
        <v>3230</v>
      </c>
      <c r="AF7" s="29">
        <f t="shared" ref="AF7:AF11" si="9">SUM(G7:J7)</f>
        <v>3391</v>
      </c>
      <c r="AG7" s="29">
        <f t="shared" ref="AG7:AG11" si="10">SUM(K7:N7)</f>
        <v>2549</v>
      </c>
      <c r="AH7" s="29">
        <f t="shared" ref="AH7:AH11" si="11">SUM(O7:R7)</f>
        <v>2787</v>
      </c>
      <c r="AI7" s="29">
        <f>SUM(S7:V7)</f>
        <v>2170</v>
      </c>
      <c r="AJ7" s="81">
        <f t="shared" ref="AJ7:AJ11" si="12">SUM(W7:Z7)</f>
        <v>2136</v>
      </c>
      <c r="AK7" s="44">
        <f>AK4*0.2</f>
        <v>1939.4099999999999</v>
      </c>
      <c r="AL7" s="35">
        <f t="shared" ref="AL7:AO7" si="13">AL4*0.2</f>
        <v>1958.8040999999998</v>
      </c>
      <c r="AM7" s="35">
        <f t="shared" si="13"/>
        <v>1997.9801819999998</v>
      </c>
      <c r="AN7" s="35">
        <f t="shared" si="13"/>
        <v>2037.9397856400001</v>
      </c>
      <c r="AO7" s="35">
        <f t="shared" si="13"/>
        <v>2078.6985813528004</v>
      </c>
      <c r="AP7" s="35">
        <f>AP4*0.18</f>
        <v>1908.2452976818704</v>
      </c>
      <c r="AQ7" s="35">
        <f t="shared" ref="AQ7:AT7" si="14">AQ4*0.18</f>
        <v>1927.327750658689</v>
      </c>
      <c r="AR7" s="35">
        <f t="shared" si="14"/>
        <v>1946.6010281652757</v>
      </c>
      <c r="AS7" s="35">
        <f t="shared" si="14"/>
        <v>1966.0670384469283</v>
      </c>
      <c r="AT7" s="35">
        <f t="shared" si="14"/>
        <v>1985.7277088313979</v>
      </c>
    </row>
    <row r="8" spans="2:46">
      <c r="B8" s="1" t="s">
        <v>76</v>
      </c>
      <c r="C8" s="29">
        <v>278</v>
      </c>
      <c r="D8" s="29">
        <v>313</v>
      </c>
      <c r="E8" s="29">
        <v>316</v>
      </c>
      <c r="F8" s="29">
        <v>317</v>
      </c>
      <c r="G8" s="29">
        <v>334</v>
      </c>
      <c r="H8" s="29">
        <v>352</v>
      </c>
      <c r="I8" s="29">
        <v>307</v>
      </c>
      <c r="J8" s="29">
        <v>292</v>
      </c>
      <c r="K8" s="29">
        <v>272</v>
      </c>
      <c r="L8" s="29">
        <v>295</v>
      </c>
      <c r="M8" s="29">
        <v>243</v>
      </c>
      <c r="N8" s="29">
        <v>241</v>
      </c>
      <c r="O8" s="29">
        <v>267</v>
      </c>
      <c r="P8" s="29">
        <v>308</v>
      </c>
      <c r="Q8" s="29">
        <v>287</v>
      </c>
      <c r="R8" s="29">
        <v>299</v>
      </c>
      <c r="S8" s="29">
        <v>304</v>
      </c>
      <c r="T8" s="29">
        <v>350</v>
      </c>
      <c r="U8" s="29">
        <v>334</v>
      </c>
      <c r="V8" s="29">
        <v>337</v>
      </c>
      <c r="W8" s="29">
        <v>301</v>
      </c>
      <c r="X8" s="29">
        <v>344</v>
      </c>
      <c r="Y8" s="29">
        <v>345</v>
      </c>
      <c r="Z8" s="90">
        <v>340</v>
      </c>
      <c r="AC8" s="29">
        <v>923</v>
      </c>
      <c r="AD8" s="29">
        <v>1114</v>
      </c>
      <c r="AE8" s="29">
        <f t="shared" si="8"/>
        <v>1310</v>
      </c>
      <c r="AF8" s="29">
        <f t="shared" si="9"/>
        <v>1285</v>
      </c>
      <c r="AG8" s="29">
        <f t="shared" si="10"/>
        <v>1051</v>
      </c>
      <c r="AH8" s="29">
        <f t="shared" si="11"/>
        <v>1161</v>
      </c>
      <c r="AI8" s="29">
        <f t="shared" ref="AI8:AI11" si="15">SUM(S8:V8)</f>
        <v>1325</v>
      </c>
      <c r="AJ8" s="81">
        <f t="shared" si="12"/>
        <v>1330</v>
      </c>
      <c r="AK8" s="44">
        <f>AK4*0.2</f>
        <v>1939.4099999999999</v>
      </c>
      <c r="AL8" s="35">
        <f>AL4*0.15</f>
        <v>1469.1030749999998</v>
      </c>
      <c r="AM8" s="35">
        <f>AM4*0.11</f>
        <v>1098.8891001</v>
      </c>
      <c r="AN8" s="35">
        <f>AN4*0.1</f>
        <v>1018.96989282</v>
      </c>
      <c r="AO8" s="35">
        <f t="shared" ref="AO8:AT8" si="16">AO4*0.1</f>
        <v>1039.3492906764002</v>
      </c>
      <c r="AP8" s="35">
        <f t="shared" si="16"/>
        <v>1060.1362764899282</v>
      </c>
      <c r="AQ8" s="35">
        <f t="shared" si="16"/>
        <v>1070.7376392548274</v>
      </c>
      <c r="AR8" s="35">
        <f t="shared" si="16"/>
        <v>1081.4450156473756</v>
      </c>
      <c r="AS8" s="35">
        <f t="shared" si="16"/>
        <v>1092.2594658038493</v>
      </c>
      <c r="AT8" s="35">
        <f t="shared" si="16"/>
        <v>1103.1820604618877</v>
      </c>
    </row>
    <row r="9" spans="2:46">
      <c r="B9" s="1" t="s">
        <v>77</v>
      </c>
      <c r="C9" s="29">
        <v>245</v>
      </c>
      <c r="D9" s="29">
        <v>267</v>
      </c>
      <c r="E9" s="29">
        <v>254</v>
      </c>
      <c r="F9" s="29">
        <v>264</v>
      </c>
      <c r="G9" s="29">
        <v>270</v>
      </c>
      <c r="H9" s="29">
        <v>368</v>
      </c>
      <c r="I9" s="29">
        <v>248</v>
      </c>
      <c r="J9" s="29">
        <v>245</v>
      </c>
      <c r="K9" s="29">
        <v>284</v>
      </c>
      <c r="L9" s="29">
        <v>256</v>
      </c>
      <c r="M9" s="29">
        <v>250</v>
      </c>
      <c r="N9" s="29">
        <v>249</v>
      </c>
      <c r="O9" s="29">
        <v>234</v>
      </c>
      <c r="P9" s="29">
        <v>320</v>
      </c>
      <c r="Q9" s="29">
        <v>258</v>
      </c>
      <c r="R9" s="29">
        <v>253</v>
      </c>
      <c r="S9" s="29">
        <v>246</v>
      </c>
      <c r="T9" s="29">
        <v>250</v>
      </c>
      <c r="U9" s="29">
        <v>219</v>
      </c>
      <c r="V9" s="29">
        <v>206</v>
      </c>
      <c r="W9" s="29">
        <v>226</v>
      </c>
      <c r="X9" s="29">
        <v>237</v>
      </c>
      <c r="Y9" s="29">
        <v>212</v>
      </c>
      <c r="Z9" s="90">
        <v>288</v>
      </c>
      <c r="AC9" s="29">
        <v>1122</v>
      </c>
      <c r="AD9" s="29">
        <v>900</v>
      </c>
      <c r="AE9" s="29">
        <f t="shared" si="8"/>
        <v>1150</v>
      </c>
      <c r="AF9" s="29">
        <f t="shared" si="9"/>
        <v>1131</v>
      </c>
      <c r="AG9" s="29">
        <f t="shared" si="10"/>
        <v>1039</v>
      </c>
      <c r="AH9" s="29">
        <f t="shared" si="11"/>
        <v>1065</v>
      </c>
      <c r="AI9" s="29">
        <f t="shared" si="15"/>
        <v>921</v>
      </c>
      <c r="AJ9" s="81">
        <f t="shared" si="12"/>
        <v>963</v>
      </c>
      <c r="AK9" s="44">
        <f>AK4*0.087</f>
        <v>843.64334999999983</v>
      </c>
      <c r="AL9" s="35">
        <f t="shared" ref="AL9:AT9" si="17">AL4*0.087</f>
        <v>852.07978349999985</v>
      </c>
      <c r="AM9" s="35">
        <f t="shared" si="17"/>
        <v>869.12137916999984</v>
      </c>
      <c r="AN9" s="35">
        <f t="shared" si="17"/>
        <v>886.50380675339989</v>
      </c>
      <c r="AO9" s="35">
        <f t="shared" si="17"/>
        <v>904.23388288846797</v>
      </c>
      <c r="AP9" s="35">
        <f t="shared" si="17"/>
        <v>922.31856054623734</v>
      </c>
      <c r="AQ9" s="35">
        <f t="shared" si="17"/>
        <v>931.54174615169961</v>
      </c>
      <c r="AR9" s="35">
        <f t="shared" si="17"/>
        <v>940.85716361321658</v>
      </c>
      <c r="AS9" s="35">
        <f t="shared" si="17"/>
        <v>950.26573524934872</v>
      </c>
      <c r="AT9" s="35">
        <f t="shared" si="17"/>
        <v>959.76839260184227</v>
      </c>
    </row>
    <row r="10" spans="2:46">
      <c r="B10" s="1" t="s">
        <v>78</v>
      </c>
      <c r="C10" s="29">
        <v>62</v>
      </c>
      <c r="D10" s="29">
        <v>63</v>
      </c>
      <c r="E10" s="29">
        <v>68</v>
      </c>
      <c r="F10" s="29">
        <v>79</v>
      </c>
      <c r="G10" s="29">
        <v>72</v>
      </c>
      <c r="H10" s="29">
        <v>66</v>
      </c>
      <c r="I10" s="29">
        <v>65</v>
      </c>
      <c r="J10" s="29">
        <v>83</v>
      </c>
      <c r="K10" s="29">
        <v>67</v>
      </c>
      <c r="L10" s="29">
        <v>63</v>
      </c>
      <c r="M10" s="29">
        <v>68</v>
      </c>
      <c r="N10" s="29">
        <v>68</v>
      </c>
      <c r="O10" s="29">
        <v>102</v>
      </c>
      <c r="P10" s="29">
        <v>93</v>
      </c>
      <c r="Q10" s="29">
        <v>60</v>
      </c>
      <c r="R10" s="29">
        <v>86</v>
      </c>
      <c r="S10" s="29">
        <v>88</v>
      </c>
      <c r="T10" s="29">
        <v>103</v>
      </c>
      <c r="U10" s="29">
        <v>112</v>
      </c>
      <c r="V10" s="29">
        <v>119</v>
      </c>
      <c r="W10" s="29">
        <v>96</v>
      </c>
      <c r="X10" s="29">
        <v>86</v>
      </c>
      <c r="Y10" s="29">
        <v>69</v>
      </c>
      <c r="Z10" s="90">
        <v>81</v>
      </c>
      <c r="AC10" s="29">
        <v>271</v>
      </c>
      <c r="AD10" s="29">
        <v>231</v>
      </c>
      <c r="AE10" s="29">
        <f t="shared" si="8"/>
        <v>282</v>
      </c>
      <c r="AF10" s="29">
        <f t="shared" si="9"/>
        <v>286</v>
      </c>
      <c r="AG10" s="29">
        <f t="shared" si="10"/>
        <v>266</v>
      </c>
      <c r="AH10" s="29">
        <f t="shared" si="11"/>
        <v>341</v>
      </c>
      <c r="AI10" s="29">
        <f t="shared" si="15"/>
        <v>422</v>
      </c>
      <c r="AJ10" s="81">
        <f t="shared" si="12"/>
        <v>332</v>
      </c>
      <c r="AK10" s="44">
        <f>AVERAGE(AC10:AJ10)</f>
        <v>303.875</v>
      </c>
      <c r="AL10" s="35">
        <f t="shared" ref="AL10:AT10" si="18">AVERAGE(AD10:AK10)</f>
        <v>307.984375</v>
      </c>
      <c r="AM10" s="35">
        <f t="shared" si="18"/>
        <v>317.607421875</v>
      </c>
      <c r="AN10" s="35">
        <f t="shared" si="18"/>
        <v>322.058349609375</v>
      </c>
      <c r="AO10" s="35">
        <f t="shared" si="18"/>
        <v>326.56564331054688</v>
      </c>
      <c r="AP10" s="35">
        <f t="shared" si="18"/>
        <v>334.13634872436523</v>
      </c>
      <c r="AQ10" s="35">
        <f t="shared" si="18"/>
        <v>333.27839231491089</v>
      </c>
      <c r="AR10" s="35">
        <f t="shared" si="18"/>
        <v>322.18819135427475</v>
      </c>
      <c r="AS10" s="35">
        <f t="shared" si="18"/>
        <v>320.96171527355909</v>
      </c>
      <c r="AT10" s="35">
        <f t="shared" si="18"/>
        <v>323.09755468275398</v>
      </c>
    </row>
    <row r="11" spans="2:46">
      <c r="B11" s="1" t="s">
        <v>79</v>
      </c>
      <c r="C11" s="29">
        <v>9</v>
      </c>
      <c r="D11" s="29">
        <v>9</v>
      </c>
      <c r="E11" s="29">
        <v>10</v>
      </c>
      <c r="F11" s="29">
        <v>10</v>
      </c>
      <c r="G11" s="29">
        <v>10</v>
      </c>
      <c r="H11" s="29">
        <v>13</v>
      </c>
      <c r="I11" s="29">
        <v>13</v>
      </c>
      <c r="J11" s="29">
        <v>13</v>
      </c>
      <c r="K11" s="29">
        <v>11</v>
      </c>
      <c r="L11" s="29">
        <v>10</v>
      </c>
      <c r="M11" s="29">
        <v>7</v>
      </c>
      <c r="N11" s="29">
        <v>7</v>
      </c>
      <c r="O11" s="29">
        <v>9</v>
      </c>
      <c r="P11" s="29">
        <v>9</v>
      </c>
      <c r="Q11" s="29">
        <v>6</v>
      </c>
      <c r="R11" s="29">
        <v>7</v>
      </c>
      <c r="S11" s="29">
        <v>7</v>
      </c>
      <c r="T11" s="29">
        <v>2</v>
      </c>
      <c r="U11" s="29">
        <v>0</v>
      </c>
      <c r="V11" s="29">
        <v>0</v>
      </c>
      <c r="W11" s="29">
        <v>1</v>
      </c>
      <c r="X11" s="29">
        <v>1</v>
      </c>
      <c r="Y11" s="29">
        <v>1</v>
      </c>
      <c r="Z11" s="90">
        <f>AVERAGE(V11:Y11)</f>
        <v>0.75</v>
      </c>
      <c r="AC11" s="29">
        <v>41</v>
      </c>
      <c r="AD11" s="29">
        <v>34</v>
      </c>
      <c r="AE11" s="29">
        <f t="shared" si="8"/>
        <v>46</v>
      </c>
      <c r="AF11" s="29">
        <f t="shared" si="9"/>
        <v>49</v>
      </c>
      <c r="AG11" s="29">
        <f t="shared" si="10"/>
        <v>35</v>
      </c>
      <c r="AH11" s="29">
        <f t="shared" si="11"/>
        <v>31</v>
      </c>
      <c r="AI11" s="29">
        <f t="shared" si="15"/>
        <v>9</v>
      </c>
      <c r="AJ11" s="81">
        <f t="shared" si="12"/>
        <v>3.75</v>
      </c>
      <c r="AK11" s="44">
        <f>AVERAGE(AC11:AJ11)</f>
        <v>31.09375</v>
      </c>
      <c r="AL11" s="35">
        <f t="shared" ref="AL11:AT11" si="19">AVERAGE(AD11:AK11)</f>
        <v>29.85546875</v>
      </c>
      <c r="AM11" s="35">
        <f t="shared" si="19"/>
        <v>29.33740234375</v>
      </c>
      <c r="AN11" s="35">
        <f t="shared" si="19"/>
        <v>27.25457763671875</v>
      </c>
      <c r="AO11" s="35">
        <f t="shared" si="19"/>
        <v>24.536399841308594</v>
      </c>
      <c r="AP11" s="35">
        <f t="shared" si="19"/>
        <v>23.228449821472168</v>
      </c>
      <c r="AQ11" s="35">
        <f t="shared" si="19"/>
        <v>22.257006049156189</v>
      </c>
      <c r="AR11" s="35">
        <f t="shared" si="19"/>
        <v>23.914131805300713</v>
      </c>
      <c r="AS11" s="35">
        <f t="shared" si="19"/>
        <v>26.434648280963302</v>
      </c>
      <c r="AT11" s="35">
        <f t="shared" si="19"/>
        <v>25.852260566083714</v>
      </c>
    </row>
    <row r="12" spans="2:46">
      <c r="B12" s="1" t="s">
        <v>80</v>
      </c>
      <c r="C12" s="29">
        <f t="shared" ref="C12:F12" si="20">SUM(C7:C11)</f>
        <v>1242</v>
      </c>
      <c r="D12" s="29">
        <f t="shared" si="20"/>
        <v>1379</v>
      </c>
      <c r="E12" s="29">
        <f t="shared" si="20"/>
        <v>1367</v>
      </c>
      <c r="F12" s="29">
        <f t="shared" si="20"/>
        <v>1454</v>
      </c>
      <c r="G12" s="29">
        <f t="shared" ref="G12:X12" si="21">SUM(G7:G11)</f>
        <v>1442</v>
      </c>
      <c r="H12" s="29">
        <f t="shared" si="21"/>
        <v>1637</v>
      </c>
      <c r="I12" s="29">
        <f t="shared" si="21"/>
        <v>1485</v>
      </c>
      <c r="J12" s="29">
        <f t="shared" si="21"/>
        <v>1578</v>
      </c>
      <c r="K12" s="29">
        <f t="shared" si="21"/>
        <v>1281</v>
      </c>
      <c r="L12" s="29">
        <f t="shared" si="21"/>
        <v>1312</v>
      </c>
      <c r="M12" s="29">
        <f t="shared" si="21"/>
        <v>1145</v>
      </c>
      <c r="N12" s="29">
        <f t="shared" si="21"/>
        <v>1202</v>
      </c>
      <c r="O12" s="29">
        <f t="shared" si="21"/>
        <v>1219</v>
      </c>
      <c r="P12" s="29">
        <f t="shared" si="21"/>
        <v>1446</v>
      </c>
      <c r="Q12" s="29">
        <f t="shared" si="21"/>
        <v>1271</v>
      </c>
      <c r="R12" s="29">
        <f t="shared" si="21"/>
        <v>1449</v>
      </c>
      <c r="S12" s="29">
        <f t="shared" si="21"/>
        <v>1191</v>
      </c>
      <c r="T12" s="29">
        <f t="shared" si="21"/>
        <v>1264</v>
      </c>
      <c r="U12" s="29">
        <f t="shared" si="21"/>
        <v>1161</v>
      </c>
      <c r="V12" s="29">
        <f t="shared" si="21"/>
        <v>1231</v>
      </c>
      <c r="W12" s="29">
        <f t="shared" si="21"/>
        <v>1102</v>
      </c>
      <c r="X12" s="29">
        <f t="shared" si="21"/>
        <v>1234</v>
      </c>
      <c r="Y12" s="29">
        <f>SUM(Y7:Y11)</f>
        <v>1165</v>
      </c>
      <c r="Z12" s="90">
        <f>SUM(Z7:Z11)</f>
        <v>1263.75</v>
      </c>
      <c r="AC12" s="29">
        <f t="shared" ref="AC12:AD12" si="22">SUM(AC7:AC11)</f>
        <v>4624</v>
      </c>
      <c r="AD12" s="29">
        <f t="shared" si="22"/>
        <v>4647</v>
      </c>
      <c r="AE12" s="29">
        <f t="shared" ref="AE12:AG12" si="23">SUM(AE7:AE11)</f>
        <v>6018</v>
      </c>
      <c r="AF12" s="29">
        <f t="shared" si="23"/>
        <v>6142</v>
      </c>
      <c r="AG12" s="29">
        <f t="shared" si="23"/>
        <v>4940</v>
      </c>
      <c r="AH12" s="29">
        <f t="shared" ref="AH12" si="24">SUM(AH7:AH11)</f>
        <v>5385</v>
      </c>
      <c r="AI12" s="29">
        <f>SUM(AI7:AI11)</f>
        <v>4847</v>
      </c>
      <c r="AJ12" s="81">
        <f>SUM(AJ7:AJ11)</f>
        <v>4764.75</v>
      </c>
      <c r="AK12" s="44">
        <f t="shared" ref="AK12:AT12" si="25">SUM(AK7:AK11)</f>
        <v>5057.4321</v>
      </c>
      <c r="AL12" s="35">
        <f t="shared" si="25"/>
        <v>4617.8268022499997</v>
      </c>
      <c r="AM12" s="35">
        <f t="shared" si="25"/>
        <v>4312.9354854887497</v>
      </c>
      <c r="AN12" s="35">
        <f t="shared" si="25"/>
        <v>4292.726412459494</v>
      </c>
      <c r="AO12" s="35">
        <f t="shared" si="25"/>
        <v>4373.3837980695243</v>
      </c>
      <c r="AP12" s="35">
        <f t="shared" si="25"/>
        <v>4248.0649332638732</v>
      </c>
      <c r="AQ12" s="35">
        <f t="shared" si="25"/>
        <v>4285.1425344292829</v>
      </c>
      <c r="AR12" s="35">
        <f t="shared" si="25"/>
        <v>4315.005530585443</v>
      </c>
      <c r="AS12" s="35">
        <f t="shared" si="25"/>
        <v>4355.9886030546486</v>
      </c>
      <c r="AT12" s="35">
        <f t="shared" si="25"/>
        <v>4397.6279771439658</v>
      </c>
    </row>
    <row r="13" spans="2:46" s="2" customFormat="1">
      <c r="B13" s="2" t="s">
        <v>81</v>
      </c>
      <c r="C13" s="28">
        <f t="shared" ref="C13:F13" si="26">C6-C12</f>
        <v>547</v>
      </c>
      <c r="D13" s="28">
        <f t="shared" si="26"/>
        <v>480</v>
      </c>
      <c r="E13" s="28">
        <f t="shared" si="26"/>
        <v>574</v>
      </c>
      <c r="F13" s="28">
        <f t="shared" si="26"/>
        <v>663</v>
      </c>
      <c r="G13" s="28">
        <f t="shared" ref="G13:X13" si="27">G6-G12</f>
        <v>579</v>
      </c>
      <c r="H13" s="28">
        <f t="shared" si="27"/>
        <v>406</v>
      </c>
      <c r="I13" s="28">
        <f t="shared" si="27"/>
        <v>556</v>
      </c>
      <c r="J13" s="28">
        <f t="shared" si="27"/>
        <v>681</v>
      </c>
      <c r="K13" s="28">
        <f t="shared" si="27"/>
        <v>593</v>
      </c>
      <c r="L13" s="28">
        <f t="shared" si="27"/>
        <v>558</v>
      </c>
      <c r="M13" s="28">
        <f t="shared" si="27"/>
        <v>408</v>
      </c>
      <c r="N13" s="28">
        <f t="shared" si="27"/>
        <v>478</v>
      </c>
      <c r="O13" s="28">
        <f t="shared" si="27"/>
        <v>629</v>
      </c>
      <c r="P13" s="28">
        <f t="shared" si="27"/>
        <v>821</v>
      </c>
      <c r="Q13" s="28">
        <f t="shared" si="27"/>
        <v>679</v>
      </c>
      <c r="R13" s="28">
        <f t="shared" si="27"/>
        <v>677</v>
      </c>
      <c r="S13" s="28">
        <f t="shared" si="27"/>
        <v>841</v>
      </c>
      <c r="T13" s="28">
        <f t="shared" si="27"/>
        <v>732</v>
      </c>
      <c r="U13" s="28">
        <f t="shared" si="27"/>
        <v>662</v>
      </c>
      <c r="V13" s="28">
        <f t="shared" si="27"/>
        <v>688</v>
      </c>
      <c r="W13" s="28">
        <f t="shared" si="27"/>
        <v>692</v>
      </c>
      <c r="X13" s="28">
        <f t="shared" si="27"/>
        <v>525</v>
      </c>
      <c r="Y13" s="28">
        <f>Y6-Y12</f>
        <v>568</v>
      </c>
      <c r="Z13" s="89">
        <f>Z6-Z12</f>
        <v>565.25</v>
      </c>
      <c r="AC13" s="28">
        <f t="shared" ref="AC13:AD13" si="28">AC6-AC12</f>
        <v>2197</v>
      </c>
      <c r="AD13" s="28">
        <f t="shared" si="28"/>
        <v>2325</v>
      </c>
      <c r="AE13" s="28">
        <f t="shared" ref="AE13:AG13" si="29">AE6-AE12</f>
        <v>1688</v>
      </c>
      <c r="AF13" s="28">
        <f t="shared" si="29"/>
        <v>2222</v>
      </c>
      <c r="AG13" s="28">
        <f t="shared" si="29"/>
        <v>2037</v>
      </c>
      <c r="AH13" s="28">
        <f t="shared" ref="AH13" si="30">AH6-AH12</f>
        <v>2806</v>
      </c>
      <c r="AI13" s="28">
        <f>AI6-AI12</f>
        <v>2923</v>
      </c>
      <c r="AJ13" s="80">
        <f>AJ6-AJ12</f>
        <v>2350.25</v>
      </c>
      <c r="AK13" s="47">
        <f t="shared" ref="AK13:AT13" si="31">AK6-AK12</f>
        <v>2021.4143999999997</v>
      </c>
      <c r="AL13" s="60">
        <f t="shared" si="31"/>
        <v>2531.8081627499996</v>
      </c>
      <c r="AM13" s="60">
        <f t="shared" si="31"/>
        <v>3079.5911879112491</v>
      </c>
      <c r="AN13" s="60">
        <f t="shared" si="31"/>
        <v>3349.5477836905056</v>
      </c>
      <c r="AO13" s="60">
        <f t="shared" si="31"/>
        <v>3421.735882003476</v>
      </c>
      <c r="AP13" s="60">
        <f t="shared" si="31"/>
        <v>3702.9571404105873</v>
      </c>
      <c r="AQ13" s="60">
        <f t="shared" si="31"/>
        <v>3745.389759981922</v>
      </c>
      <c r="AR13" s="60">
        <f t="shared" si="31"/>
        <v>3795.8320867698731</v>
      </c>
      <c r="AS13" s="60">
        <f t="shared" si="31"/>
        <v>3835.9573904742201</v>
      </c>
      <c r="AT13" s="60">
        <f t="shared" si="31"/>
        <v>3876.2374763201915</v>
      </c>
    </row>
    <row r="14" spans="2:46">
      <c r="B14" s="1" t="s">
        <v>87</v>
      </c>
      <c r="C14" s="29">
        <v>0</v>
      </c>
      <c r="D14" s="29">
        <v>0</v>
      </c>
      <c r="E14" s="29">
        <v>0</v>
      </c>
      <c r="F14" s="29">
        <v>0</v>
      </c>
      <c r="G14" s="29">
        <v>0</v>
      </c>
      <c r="H14" s="29">
        <v>0</v>
      </c>
      <c r="I14" s="29">
        <v>0</v>
      </c>
      <c r="J14" s="29">
        <v>0</v>
      </c>
      <c r="K14" s="29">
        <v>0</v>
      </c>
      <c r="L14" s="29">
        <v>0</v>
      </c>
      <c r="M14" s="29">
        <v>0</v>
      </c>
      <c r="N14" s="29">
        <v>0</v>
      </c>
      <c r="O14" s="29">
        <v>0</v>
      </c>
      <c r="P14" s="29">
        <v>0</v>
      </c>
      <c r="Q14" s="29">
        <v>0</v>
      </c>
      <c r="R14" s="29">
        <v>0</v>
      </c>
      <c r="S14" s="29">
        <v>-36</v>
      </c>
      <c r="T14" s="29">
        <v>-273</v>
      </c>
      <c r="U14" s="29">
        <v>-181</v>
      </c>
      <c r="V14" s="29">
        <v>-1875</v>
      </c>
      <c r="W14" s="29">
        <v>-2291</v>
      </c>
      <c r="X14" s="29">
        <v>-1221</v>
      </c>
      <c r="Y14" s="29">
        <v>-593</v>
      </c>
      <c r="Z14" s="90">
        <v>319</v>
      </c>
      <c r="AC14" s="29">
        <v>0</v>
      </c>
      <c r="AD14" s="29">
        <v>0</v>
      </c>
      <c r="AE14" s="29">
        <f t="shared" ref="AE14:AE15" si="32">SUM(F14:I14)</f>
        <v>0</v>
      </c>
      <c r="AF14" s="29">
        <f t="shared" ref="AF14:AF15" si="33">SUM(G14:J14)</f>
        <v>0</v>
      </c>
      <c r="AG14" s="29">
        <f t="shared" ref="AG14:AG15" si="34">SUM(K14:N14)</f>
        <v>0</v>
      </c>
      <c r="AH14" s="29">
        <f t="shared" ref="AH14:AH19" si="35">SUM(O14:R14)</f>
        <v>0</v>
      </c>
      <c r="AI14" s="29">
        <f t="shared" ref="AI14:AI15" si="36">SUM(S14:V14)</f>
        <v>-2365</v>
      </c>
      <c r="AJ14" s="81">
        <f t="shared" ref="AJ14:AJ19" si="37">SUM(W14:Z14)</f>
        <v>-3786</v>
      </c>
      <c r="AK14" s="40">
        <v>0</v>
      </c>
      <c r="AL14" s="34">
        <v>0</v>
      </c>
      <c r="AM14" s="34">
        <v>0</v>
      </c>
      <c r="AN14" s="34">
        <v>0</v>
      </c>
      <c r="AO14" s="34">
        <v>0</v>
      </c>
      <c r="AP14" s="34">
        <v>0</v>
      </c>
      <c r="AQ14" s="34">
        <v>0</v>
      </c>
      <c r="AR14" s="34">
        <v>0</v>
      </c>
      <c r="AS14" s="34">
        <v>0</v>
      </c>
      <c r="AT14" s="34">
        <v>0</v>
      </c>
    </row>
    <row r="15" spans="2:46">
      <c r="B15" s="1" t="s">
        <v>82</v>
      </c>
      <c r="C15" s="29">
        <v>11</v>
      </c>
      <c r="D15" s="29">
        <v>-18</v>
      </c>
      <c r="E15" s="29">
        <v>120</v>
      </c>
      <c r="F15" s="29">
        <v>-102</v>
      </c>
      <c r="G15" s="29">
        <v>-32</v>
      </c>
      <c r="H15" s="29">
        <v>301</v>
      </c>
      <c r="I15" s="29">
        <v>392</v>
      </c>
      <c r="J15" s="29">
        <v>-165</v>
      </c>
      <c r="K15" s="29">
        <v>64</v>
      </c>
      <c r="L15" s="29">
        <v>-51</v>
      </c>
      <c r="M15" s="29">
        <v>-142</v>
      </c>
      <c r="N15" s="29">
        <v>16</v>
      </c>
      <c r="O15" s="29">
        <v>2</v>
      </c>
      <c r="P15" s="29">
        <v>182</v>
      </c>
      <c r="Q15" s="29">
        <v>95</v>
      </c>
      <c r="R15" s="29">
        <v>432</v>
      </c>
      <c r="S15" s="29">
        <v>-81</v>
      </c>
      <c r="T15" s="29">
        <v>-58</v>
      </c>
      <c r="U15" s="29">
        <v>-47</v>
      </c>
      <c r="V15" s="29">
        <v>26</v>
      </c>
      <c r="W15" s="29">
        <v>-50</v>
      </c>
      <c r="X15" s="29">
        <v>-31</v>
      </c>
      <c r="Y15" s="29">
        <v>-29</v>
      </c>
      <c r="Z15" s="90">
        <v>-55</v>
      </c>
      <c r="AC15" s="29">
        <v>209</v>
      </c>
      <c r="AD15" s="29">
        <v>1326</v>
      </c>
      <c r="AE15" s="29">
        <f t="shared" si="32"/>
        <v>559</v>
      </c>
      <c r="AF15" s="29">
        <f t="shared" si="33"/>
        <v>496</v>
      </c>
      <c r="AG15" s="29">
        <f t="shared" si="34"/>
        <v>-113</v>
      </c>
      <c r="AH15" s="29">
        <f t="shared" si="35"/>
        <v>711</v>
      </c>
      <c r="AI15" s="29">
        <f t="shared" si="36"/>
        <v>-160</v>
      </c>
      <c r="AJ15" s="81">
        <f t="shared" si="37"/>
        <v>-165</v>
      </c>
      <c r="AK15" s="44">
        <f>AVERAGE(AC15:AJ15)</f>
        <v>357.875</v>
      </c>
      <c r="AL15" s="35">
        <f t="shared" ref="AL15:AT15" si="38">AVERAGE(AD15:AK15)</f>
        <v>376.484375</v>
      </c>
      <c r="AM15" s="35">
        <f t="shared" si="38"/>
        <v>257.794921875</v>
      </c>
      <c r="AN15" s="35">
        <f t="shared" si="38"/>
        <v>220.144287109375</v>
      </c>
      <c r="AO15" s="35">
        <f t="shared" si="38"/>
        <v>185.66232299804688</v>
      </c>
      <c r="AP15" s="35">
        <f t="shared" si="38"/>
        <v>222.99511337280273</v>
      </c>
      <c r="AQ15" s="35">
        <f t="shared" si="38"/>
        <v>161.99450254440308</v>
      </c>
      <c r="AR15" s="35">
        <f t="shared" si="38"/>
        <v>202.24381536245346</v>
      </c>
      <c r="AS15" s="35">
        <f t="shared" si="38"/>
        <v>248.14929228276014</v>
      </c>
      <c r="AT15" s="35">
        <f t="shared" si="38"/>
        <v>234.43357881810516</v>
      </c>
    </row>
    <row r="16" spans="2:46">
      <c r="B16" s="1" t="s">
        <v>83</v>
      </c>
      <c r="C16" s="29">
        <f t="shared" ref="C16:F16" si="39">C13+C14+C15</f>
        <v>558</v>
      </c>
      <c r="D16" s="29">
        <f t="shared" si="39"/>
        <v>462</v>
      </c>
      <c r="E16" s="29">
        <f t="shared" si="39"/>
        <v>694</v>
      </c>
      <c r="F16" s="29">
        <f t="shared" si="39"/>
        <v>561</v>
      </c>
      <c r="G16" s="29">
        <f t="shared" ref="G16:X16" si="40">G13+G14+G15</f>
        <v>547</v>
      </c>
      <c r="H16" s="29">
        <f t="shared" si="40"/>
        <v>707</v>
      </c>
      <c r="I16" s="29">
        <f t="shared" si="40"/>
        <v>948</v>
      </c>
      <c r="J16" s="29">
        <f>J13+J14+J15</f>
        <v>516</v>
      </c>
      <c r="K16" s="29">
        <f t="shared" si="40"/>
        <v>657</v>
      </c>
      <c r="L16" s="29">
        <f t="shared" si="40"/>
        <v>507</v>
      </c>
      <c r="M16" s="29">
        <f t="shared" si="40"/>
        <v>266</v>
      </c>
      <c r="N16" s="29">
        <f t="shared" si="40"/>
        <v>494</v>
      </c>
      <c r="O16" s="29">
        <f t="shared" si="40"/>
        <v>631</v>
      </c>
      <c r="P16" s="29">
        <f t="shared" si="40"/>
        <v>1003</v>
      </c>
      <c r="Q16" s="29">
        <f>Q13+Q14+Q15</f>
        <v>774</v>
      </c>
      <c r="R16" s="29">
        <f t="shared" si="40"/>
        <v>1109</v>
      </c>
      <c r="S16" s="29">
        <f t="shared" si="40"/>
        <v>724</v>
      </c>
      <c r="T16" s="29">
        <f t="shared" si="40"/>
        <v>401</v>
      </c>
      <c r="U16" s="29">
        <f t="shared" si="40"/>
        <v>434</v>
      </c>
      <c r="V16" s="29">
        <f t="shared" si="40"/>
        <v>-1161</v>
      </c>
      <c r="W16" s="29">
        <f t="shared" si="40"/>
        <v>-1649</v>
      </c>
      <c r="X16" s="29">
        <f t="shared" si="40"/>
        <v>-727</v>
      </c>
      <c r="Y16" s="29">
        <f>Y13+Y14+Y15</f>
        <v>-54</v>
      </c>
      <c r="Z16" s="90">
        <f>Z13+Z14+Z15</f>
        <v>829.25</v>
      </c>
      <c r="AC16" s="29">
        <f t="shared" ref="AC16:AH16" si="41">AC13+AC14+AC15</f>
        <v>2406</v>
      </c>
      <c r="AD16" s="29">
        <f t="shared" si="41"/>
        <v>3651</v>
      </c>
      <c r="AE16" s="29">
        <f t="shared" si="41"/>
        <v>2247</v>
      </c>
      <c r="AF16" s="29">
        <f t="shared" si="41"/>
        <v>2718</v>
      </c>
      <c r="AG16" s="29">
        <f t="shared" si="41"/>
        <v>1924</v>
      </c>
      <c r="AH16" s="29">
        <f t="shared" si="41"/>
        <v>3517</v>
      </c>
      <c r="AI16" s="29">
        <f>AI13+AI14+AI15</f>
        <v>398</v>
      </c>
      <c r="AJ16" s="81">
        <f>AJ13+AJ14+AJ15</f>
        <v>-1600.75</v>
      </c>
      <c r="AK16" s="44">
        <f t="shared" ref="AK16:AT16" si="42">AK13+AK14+AK15</f>
        <v>2379.2893999999997</v>
      </c>
      <c r="AL16" s="35">
        <f t="shared" si="42"/>
        <v>2908.2925377499996</v>
      </c>
      <c r="AM16" s="35">
        <f t="shared" si="42"/>
        <v>3337.3861097862491</v>
      </c>
      <c r="AN16" s="35">
        <f t="shared" si="42"/>
        <v>3569.6920707998806</v>
      </c>
      <c r="AO16" s="35">
        <f t="shared" si="42"/>
        <v>3607.3982050015229</v>
      </c>
      <c r="AP16" s="35">
        <f t="shared" si="42"/>
        <v>3925.95225378339</v>
      </c>
      <c r="AQ16" s="35">
        <f t="shared" si="42"/>
        <v>3907.3842625263251</v>
      </c>
      <c r="AR16" s="35">
        <f t="shared" si="42"/>
        <v>3998.0759021323265</v>
      </c>
      <c r="AS16" s="35">
        <f t="shared" si="42"/>
        <v>4084.1066827569803</v>
      </c>
      <c r="AT16" s="35">
        <f t="shared" si="42"/>
        <v>4110.6710551382967</v>
      </c>
    </row>
    <row r="17" spans="2:94">
      <c r="B17" s="1" t="s">
        <v>84</v>
      </c>
      <c r="C17" s="29">
        <v>477</v>
      </c>
      <c r="D17" s="29">
        <v>-433</v>
      </c>
      <c r="E17" s="29">
        <v>-174</v>
      </c>
      <c r="F17" s="29">
        <v>-3158</v>
      </c>
      <c r="G17" s="29">
        <v>-140</v>
      </c>
      <c r="H17" s="29">
        <v>-69</v>
      </c>
      <c r="I17" s="29">
        <v>-228</v>
      </c>
      <c r="J17" s="29">
        <v>247</v>
      </c>
      <c r="K17" s="29">
        <v>-141</v>
      </c>
      <c r="L17" s="29">
        <v>-107</v>
      </c>
      <c r="M17" s="29">
        <v>-56</v>
      </c>
      <c r="N17" s="29">
        <v>-25</v>
      </c>
      <c r="O17" s="29">
        <v>-146</v>
      </c>
      <c r="P17" s="29">
        <v>-263</v>
      </c>
      <c r="Q17" s="29">
        <v>-153</v>
      </c>
      <c r="R17" s="29">
        <v>-328</v>
      </c>
      <c r="S17" s="29">
        <v>-156</v>
      </c>
      <c r="T17" s="29">
        <v>-107</v>
      </c>
      <c r="U17" s="29">
        <v>-151</v>
      </c>
      <c r="V17" s="29">
        <v>268</v>
      </c>
      <c r="W17" s="29">
        <v>310</v>
      </c>
      <c r="X17" s="29">
        <v>191</v>
      </c>
      <c r="Y17" s="29">
        <v>-16</v>
      </c>
      <c r="Z17" s="90">
        <v>-158</v>
      </c>
      <c r="AC17" s="29">
        <v>-459</v>
      </c>
      <c r="AD17" s="29">
        <v>3634</v>
      </c>
      <c r="AE17" s="29">
        <f t="shared" ref="AE17" si="43">SUM(F17:I17)</f>
        <v>-3595</v>
      </c>
      <c r="AF17" s="29">
        <f t="shared" ref="AF17" si="44">SUM(G17:J17)</f>
        <v>-190</v>
      </c>
      <c r="AG17" s="29">
        <f t="shared" ref="AG17" si="45">SUM(K17:N17)</f>
        <v>-329</v>
      </c>
      <c r="AH17" s="29">
        <f t="shared" si="35"/>
        <v>-890</v>
      </c>
      <c r="AI17" s="29">
        <f t="shared" ref="AI17" si="46">SUM(S17:V17)</f>
        <v>-146</v>
      </c>
      <c r="AJ17" s="81">
        <f t="shared" si="37"/>
        <v>327</v>
      </c>
      <c r="AK17" s="44">
        <f>-(AK16*AK30)</f>
        <v>-594.82234999999991</v>
      </c>
      <c r="AL17" s="35">
        <f t="shared" ref="AL17:AT17" si="47">-(AL16*AL30)</f>
        <v>-727.0731344374999</v>
      </c>
      <c r="AM17" s="35">
        <f t="shared" si="47"/>
        <v>-834.34652744656228</v>
      </c>
      <c r="AN17" s="35">
        <f t="shared" si="47"/>
        <v>-892.42301769997016</v>
      </c>
      <c r="AO17" s="35">
        <f t="shared" si="47"/>
        <v>-901.84955125038073</v>
      </c>
      <c r="AP17" s="35">
        <f t="shared" si="47"/>
        <v>-981.4880634458475</v>
      </c>
      <c r="AQ17" s="35">
        <f t="shared" si="47"/>
        <v>-976.84606563158127</v>
      </c>
      <c r="AR17" s="35">
        <f t="shared" si="47"/>
        <v>-999.51897553308163</v>
      </c>
      <c r="AS17" s="35">
        <f t="shared" si="47"/>
        <v>-1021.0266706892451</v>
      </c>
      <c r="AT17" s="35">
        <f t="shared" si="47"/>
        <v>-1027.6677637845742</v>
      </c>
    </row>
    <row r="18" spans="2:94">
      <c r="B18" s="1" t="s">
        <v>85</v>
      </c>
      <c r="C18" s="29">
        <f t="shared" ref="C18:F18" si="48">C16+C17</f>
        <v>1035</v>
      </c>
      <c r="D18" s="29">
        <f t="shared" si="48"/>
        <v>29</v>
      </c>
      <c r="E18" s="29">
        <f t="shared" si="48"/>
        <v>520</v>
      </c>
      <c r="F18" s="29">
        <f t="shared" si="48"/>
        <v>-2597</v>
      </c>
      <c r="G18" s="29">
        <f t="shared" ref="G18:X18" si="49">G16+G17</f>
        <v>407</v>
      </c>
      <c r="H18" s="29">
        <f t="shared" si="49"/>
        <v>638</v>
      </c>
      <c r="I18" s="29">
        <f t="shared" si="49"/>
        <v>720</v>
      </c>
      <c r="J18" s="29">
        <f t="shared" si="49"/>
        <v>763</v>
      </c>
      <c r="K18" s="29">
        <f t="shared" si="49"/>
        <v>516</v>
      </c>
      <c r="L18" s="29">
        <f t="shared" si="49"/>
        <v>400</v>
      </c>
      <c r="M18" s="29">
        <f t="shared" si="49"/>
        <v>210</v>
      </c>
      <c r="N18" s="29">
        <f t="shared" si="49"/>
        <v>469</v>
      </c>
      <c r="O18" s="29">
        <f t="shared" si="49"/>
        <v>485</v>
      </c>
      <c r="P18" s="29">
        <f t="shared" si="49"/>
        <v>740</v>
      </c>
      <c r="Q18" s="29">
        <f t="shared" si="49"/>
        <v>621</v>
      </c>
      <c r="R18" s="29">
        <f t="shared" si="49"/>
        <v>781</v>
      </c>
      <c r="S18" s="29">
        <f t="shared" si="49"/>
        <v>568</v>
      </c>
      <c r="T18" s="29">
        <f t="shared" si="49"/>
        <v>294</v>
      </c>
      <c r="U18" s="29">
        <f t="shared" si="49"/>
        <v>283</v>
      </c>
      <c r="V18" s="29">
        <f t="shared" si="49"/>
        <v>-893</v>
      </c>
      <c r="W18" s="29">
        <f t="shared" si="49"/>
        <v>-1339</v>
      </c>
      <c r="X18" s="29">
        <f t="shared" si="49"/>
        <v>-536</v>
      </c>
      <c r="Y18" s="29">
        <f>Y16+Y17</f>
        <v>-70</v>
      </c>
      <c r="Z18" s="90">
        <f>Z16+Z17</f>
        <v>671.25</v>
      </c>
      <c r="AC18" s="29">
        <f t="shared" ref="AC18:AH18" si="50">AC16+AC17</f>
        <v>1947</v>
      </c>
      <c r="AD18" s="29">
        <f t="shared" si="50"/>
        <v>7285</v>
      </c>
      <c r="AE18" s="29">
        <f t="shared" si="50"/>
        <v>-1348</v>
      </c>
      <c r="AF18" s="29">
        <f t="shared" si="50"/>
        <v>2528</v>
      </c>
      <c r="AG18" s="29">
        <f t="shared" si="50"/>
        <v>1595</v>
      </c>
      <c r="AH18" s="29">
        <f t="shared" si="50"/>
        <v>2627</v>
      </c>
      <c r="AI18" s="29">
        <f>AI16+AI17</f>
        <v>252</v>
      </c>
      <c r="AJ18" s="81">
        <f>AJ16+AJ17</f>
        <v>-1273.75</v>
      </c>
      <c r="AK18" s="44">
        <f t="shared" ref="AK18:AT18" si="51">AK16+AK17</f>
        <v>1784.4670499999997</v>
      </c>
      <c r="AL18" s="35">
        <f t="shared" si="51"/>
        <v>2181.2194033124997</v>
      </c>
      <c r="AM18" s="35">
        <f t="shared" si="51"/>
        <v>2503.0395823396866</v>
      </c>
      <c r="AN18" s="35">
        <f t="shared" si="51"/>
        <v>2677.2690530999107</v>
      </c>
      <c r="AO18" s="35">
        <f t="shared" si="51"/>
        <v>2705.5486537511424</v>
      </c>
      <c r="AP18" s="35">
        <f t="shared" si="51"/>
        <v>2944.4641903375423</v>
      </c>
      <c r="AQ18" s="35">
        <f t="shared" si="51"/>
        <v>2930.538196894744</v>
      </c>
      <c r="AR18" s="35">
        <f t="shared" si="51"/>
        <v>2998.5569265992449</v>
      </c>
      <c r="AS18" s="35">
        <f t="shared" si="51"/>
        <v>3063.080012067735</v>
      </c>
      <c r="AT18" s="35">
        <f t="shared" si="51"/>
        <v>3083.0032913537225</v>
      </c>
    </row>
    <row r="19" spans="2:94">
      <c r="B19" s="1" t="s">
        <v>86</v>
      </c>
      <c r="C19" s="29">
        <v>0</v>
      </c>
      <c r="D19" s="29">
        <v>0</v>
      </c>
      <c r="E19" s="29">
        <v>0</v>
      </c>
      <c r="F19" s="29">
        <v>-4</v>
      </c>
      <c r="G19" s="29">
        <v>0</v>
      </c>
      <c r="H19" s="29">
        <v>4</v>
      </c>
      <c r="I19" s="29">
        <v>1</v>
      </c>
      <c r="J19" s="29">
        <v>-3</v>
      </c>
      <c r="K19" s="29">
        <v>2</v>
      </c>
      <c r="L19" s="29">
        <v>2</v>
      </c>
      <c r="M19" s="29">
        <v>100</v>
      </c>
      <c r="N19" s="29">
        <v>87</v>
      </c>
      <c r="O19" s="29">
        <v>2927</v>
      </c>
      <c r="P19" s="29">
        <v>6</v>
      </c>
      <c r="Q19" s="29">
        <v>43</v>
      </c>
      <c r="R19" s="29">
        <v>64</v>
      </c>
      <c r="S19" s="29">
        <v>73</v>
      </c>
      <c r="T19" s="29">
        <v>10440</v>
      </c>
      <c r="U19" s="29">
        <v>-19</v>
      </c>
      <c r="V19" s="29">
        <v>2862</v>
      </c>
      <c r="W19" s="29">
        <v>-2</v>
      </c>
      <c r="X19" s="29">
        <v>5</v>
      </c>
      <c r="Y19" s="29">
        <v>1</v>
      </c>
      <c r="Z19" s="90">
        <v>1</v>
      </c>
      <c r="AC19" s="29">
        <v>-222</v>
      </c>
      <c r="AD19" s="29">
        <v>-19</v>
      </c>
      <c r="AE19" s="29">
        <f t="shared" ref="AE19" si="52">SUM(F19:I19)</f>
        <v>1</v>
      </c>
      <c r="AF19" s="29">
        <f t="shared" ref="AF19" si="53">SUM(G19:J19)</f>
        <v>2</v>
      </c>
      <c r="AG19" s="29">
        <f t="shared" ref="AG19" si="54">SUM(K19:N19)</f>
        <v>191</v>
      </c>
      <c r="AH19" s="29">
        <f t="shared" si="35"/>
        <v>3040</v>
      </c>
      <c r="AI19" s="29">
        <f t="shared" ref="AI19" si="55">SUM(S19:V19)</f>
        <v>13356</v>
      </c>
      <c r="AJ19" s="81">
        <f t="shared" si="37"/>
        <v>5</v>
      </c>
      <c r="AK19" s="40">
        <v>0</v>
      </c>
      <c r="AL19" s="34">
        <v>0</v>
      </c>
      <c r="AM19" s="34">
        <v>0</v>
      </c>
      <c r="AN19" s="34">
        <v>0</v>
      </c>
      <c r="AO19" s="34">
        <v>0</v>
      </c>
      <c r="AP19" s="34">
        <v>0</v>
      </c>
      <c r="AQ19" s="34">
        <v>0</v>
      </c>
      <c r="AR19" s="34">
        <v>0</v>
      </c>
      <c r="AS19" s="34">
        <v>0</v>
      </c>
      <c r="AT19" s="34">
        <v>0</v>
      </c>
    </row>
    <row r="20" spans="2:94" s="2" customFormat="1">
      <c r="B20" s="2" t="s">
        <v>71</v>
      </c>
      <c r="C20" s="28">
        <f t="shared" ref="C20:F20" si="56">C18+C19</f>
        <v>1035</v>
      </c>
      <c r="D20" s="28">
        <f t="shared" si="56"/>
        <v>29</v>
      </c>
      <c r="E20" s="28">
        <f t="shared" si="56"/>
        <v>520</v>
      </c>
      <c r="F20" s="28">
        <f t="shared" si="56"/>
        <v>-2601</v>
      </c>
      <c r="G20" s="28">
        <f t="shared" ref="G20:X20" si="57">G18+G19</f>
        <v>407</v>
      </c>
      <c r="H20" s="28">
        <f t="shared" si="57"/>
        <v>642</v>
      </c>
      <c r="I20" s="28">
        <f t="shared" si="57"/>
        <v>721</v>
      </c>
      <c r="J20" s="28">
        <f t="shared" si="57"/>
        <v>760</v>
      </c>
      <c r="K20" s="28">
        <f t="shared" si="57"/>
        <v>518</v>
      </c>
      <c r="L20" s="28">
        <f t="shared" si="57"/>
        <v>402</v>
      </c>
      <c r="M20" s="28">
        <f t="shared" si="57"/>
        <v>310</v>
      </c>
      <c r="N20" s="28">
        <f t="shared" si="57"/>
        <v>556</v>
      </c>
      <c r="O20" s="28">
        <f t="shared" si="57"/>
        <v>3412</v>
      </c>
      <c r="P20" s="28">
        <f t="shared" si="57"/>
        <v>746</v>
      </c>
      <c r="Q20" s="28">
        <f t="shared" si="57"/>
        <v>664</v>
      </c>
      <c r="R20" s="28">
        <f t="shared" si="57"/>
        <v>845</v>
      </c>
      <c r="S20" s="28">
        <f t="shared" si="57"/>
        <v>641</v>
      </c>
      <c r="T20" s="28">
        <f t="shared" si="57"/>
        <v>10734</v>
      </c>
      <c r="U20" s="28">
        <f t="shared" si="57"/>
        <v>264</v>
      </c>
      <c r="V20" s="28">
        <f t="shared" si="57"/>
        <v>1969</v>
      </c>
      <c r="W20" s="28">
        <f t="shared" si="57"/>
        <v>-1341</v>
      </c>
      <c r="X20" s="28">
        <f t="shared" si="57"/>
        <v>-531</v>
      </c>
      <c r="Y20" s="28">
        <f>Y18+Y19</f>
        <v>-69</v>
      </c>
      <c r="Z20" s="89">
        <f>Z18+Z19</f>
        <v>672.25</v>
      </c>
      <c r="AC20" s="28">
        <f t="shared" ref="AC20:AH20" si="58">AC18+AC19</f>
        <v>1725</v>
      </c>
      <c r="AD20" s="28">
        <f t="shared" si="58"/>
        <v>7266</v>
      </c>
      <c r="AE20" s="28">
        <f t="shared" si="58"/>
        <v>-1347</v>
      </c>
      <c r="AF20" s="28">
        <f t="shared" si="58"/>
        <v>2530</v>
      </c>
      <c r="AG20" s="28">
        <f t="shared" si="58"/>
        <v>1786</v>
      </c>
      <c r="AH20" s="28">
        <f t="shared" si="58"/>
        <v>5667</v>
      </c>
      <c r="AI20" s="28">
        <f>AI18+AI19</f>
        <v>13608</v>
      </c>
      <c r="AJ20" s="80">
        <f>AJ18+AJ19</f>
        <v>-1268.75</v>
      </c>
      <c r="AK20" s="47">
        <f t="shared" ref="AK20:AT20" si="59">AK18+AK19</f>
        <v>1784.4670499999997</v>
      </c>
      <c r="AL20" s="60">
        <f t="shared" si="59"/>
        <v>2181.2194033124997</v>
      </c>
      <c r="AM20" s="60">
        <f t="shared" si="59"/>
        <v>2503.0395823396866</v>
      </c>
      <c r="AN20" s="60">
        <f t="shared" si="59"/>
        <v>2677.2690530999107</v>
      </c>
      <c r="AO20" s="60">
        <f t="shared" si="59"/>
        <v>2705.5486537511424</v>
      </c>
      <c r="AP20" s="60">
        <f t="shared" si="59"/>
        <v>2944.4641903375423</v>
      </c>
      <c r="AQ20" s="60">
        <f t="shared" si="59"/>
        <v>2930.538196894744</v>
      </c>
      <c r="AR20" s="60">
        <f t="shared" si="59"/>
        <v>2998.5569265992449</v>
      </c>
      <c r="AS20" s="60">
        <f t="shared" si="59"/>
        <v>3063.080012067735</v>
      </c>
      <c r="AT20" s="60">
        <f t="shared" si="59"/>
        <v>3083.0032913537225</v>
      </c>
      <c r="AU20" s="28">
        <f>AT20*(1+$AW$24)</f>
        <v>3021.343225526648</v>
      </c>
      <c r="AV20" s="28">
        <f t="shared" ref="AV20:CP20" si="60">AU20*(1+$AW$24)</f>
        <v>2960.9163610161149</v>
      </c>
      <c r="AW20" s="28">
        <f t="shared" si="60"/>
        <v>2901.6980337957925</v>
      </c>
      <c r="AX20" s="28">
        <f t="shared" si="60"/>
        <v>2843.6640731198768</v>
      </c>
      <c r="AY20" s="28">
        <f t="shared" si="60"/>
        <v>2786.7907916574791</v>
      </c>
      <c r="AZ20" s="28">
        <f t="shared" si="60"/>
        <v>2731.0549758243296</v>
      </c>
      <c r="BA20" s="28">
        <f t="shared" si="60"/>
        <v>2676.4338763078431</v>
      </c>
      <c r="BB20" s="28">
        <f t="shared" si="60"/>
        <v>2622.9051987816861</v>
      </c>
      <c r="BC20" s="28">
        <f t="shared" si="60"/>
        <v>2570.4470948060525</v>
      </c>
      <c r="BD20" s="28">
        <f t="shared" si="60"/>
        <v>2519.0381529099313</v>
      </c>
      <c r="BE20" s="28">
        <f t="shared" si="60"/>
        <v>2468.6573898517327</v>
      </c>
      <c r="BF20" s="28">
        <f t="shared" si="60"/>
        <v>2419.2842420546981</v>
      </c>
      <c r="BG20" s="28">
        <f t="shared" si="60"/>
        <v>2370.8985572136039</v>
      </c>
      <c r="BH20" s="28">
        <f t="shared" si="60"/>
        <v>2323.4805860693318</v>
      </c>
      <c r="BI20" s="28">
        <f t="shared" si="60"/>
        <v>2277.0109743479452</v>
      </c>
      <c r="BJ20" s="28">
        <f t="shared" si="60"/>
        <v>2231.4707548609863</v>
      </c>
      <c r="BK20" s="28">
        <f t="shared" si="60"/>
        <v>2186.8413397637664</v>
      </c>
      <c r="BL20" s="28">
        <f t="shared" si="60"/>
        <v>2143.1045129684912</v>
      </c>
      <c r="BM20" s="28">
        <f t="shared" si="60"/>
        <v>2100.2424227091215</v>
      </c>
      <c r="BN20" s="28">
        <f t="shared" si="60"/>
        <v>2058.2375742549389</v>
      </c>
      <c r="BO20" s="28">
        <f t="shared" si="60"/>
        <v>2017.0728227698401</v>
      </c>
      <c r="BP20" s="28">
        <f t="shared" si="60"/>
        <v>1976.7313663144432</v>
      </c>
      <c r="BQ20" s="28">
        <f t="shared" si="60"/>
        <v>1937.1967389881543</v>
      </c>
      <c r="BR20" s="28">
        <f t="shared" si="60"/>
        <v>1898.4528042083912</v>
      </c>
      <c r="BS20" s="28">
        <f t="shared" si="60"/>
        <v>1860.4837481242232</v>
      </c>
      <c r="BT20" s="28">
        <f t="shared" si="60"/>
        <v>1823.2740731617387</v>
      </c>
      <c r="BU20" s="28">
        <f t="shared" si="60"/>
        <v>1786.808591698504</v>
      </c>
      <c r="BV20" s="28">
        <f t="shared" si="60"/>
        <v>1751.0724198645339</v>
      </c>
      <c r="BW20" s="28">
        <f t="shared" si="60"/>
        <v>1716.0509714672432</v>
      </c>
      <c r="BX20" s="28">
        <f t="shared" si="60"/>
        <v>1681.7299520378983</v>
      </c>
      <c r="BY20" s="28">
        <f t="shared" si="60"/>
        <v>1648.0953529971403</v>
      </c>
      <c r="BZ20" s="28">
        <f t="shared" si="60"/>
        <v>1615.1334459371974</v>
      </c>
      <c r="CA20" s="28">
        <f t="shared" si="60"/>
        <v>1582.8307770184533</v>
      </c>
      <c r="CB20" s="28">
        <f t="shared" si="60"/>
        <v>1551.1741614780842</v>
      </c>
      <c r="CC20" s="28">
        <f t="shared" si="60"/>
        <v>1520.1506782485226</v>
      </c>
      <c r="CD20" s="28">
        <f t="shared" si="60"/>
        <v>1489.7476646835521</v>
      </c>
      <c r="CE20" s="28">
        <f t="shared" si="60"/>
        <v>1459.952711389881</v>
      </c>
      <c r="CF20" s="28">
        <f t="shared" si="60"/>
        <v>1430.7536571620833</v>
      </c>
      <c r="CG20" s="28">
        <f t="shared" si="60"/>
        <v>1402.1385840188416</v>
      </c>
      <c r="CH20" s="28">
        <f t="shared" si="60"/>
        <v>1374.0958123384648</v>
      </c>
      <c r="CI20" s="28">
        <f t="shared" si="60"/>
        <v>1346.6138960916956</v>
      </c>
      <c r="CJ20" s="28">
        <f t="shared" si="60"/>
        <v>1319.6816181698616</v>
      </c>
      <c r="CK20" s="28">
        <f t="shared" si="60"/>
        <v>1293.2879858064643</v>
      </c>
      <c r="CL20" s="28">
        <f t="shared" si="60"/>
        <v>1267.422226090335</v>
      </c>
      <c r="CM20" s="28">
        <f t="shared" si="60"/>
        <v>1242.0737815685284</v>
      </c>
      <c r="CN20" s="28">
        <f t="shared" si="60"/>
        <v>1217.2323059371579</v>
      </c>
      <c r="CO20" s="28">
        <f t="shared" si="60"/>
        <v>1192.8876598184147</v>
      </c>
      <c r="CP20" s="28">
        <f t="shared" si="60"/>
        <v>1169.0299066220464</v>
      </c>
    </row>
    <row r="21" spans="2:94">
      <c r="B21" s="1" t="s">
        <v>70</v>
      </c>
      <c r="C21" s="30">
        <f t="shared" ref="C21:F21" si="61">C20/C22</f>
        <v>0.95567867036011078</v>
      </c>
      <c r="D21" s="30">
        <f t="shared" si="61"/>
        <v>2.6951672862453532E-2</v>
      </c>
      <c r="E21" s="30">
        <f t="shared" si="61"/>
        <v>0.4896421845574388</v>
      </c>
      <c r="F21" s="30">
        <f t="shared" si="61"/>
        <v>-2.5130434782608697</v>
      </c>
      <c r="G21" s="30">
        <f t="shared" ref="G21:N21" si="62">G20/G22</f>
        <v>0.402970297029703</v>
      </c>
      <c r="H21" s="30">
        <f t="shared" si="62"/>
        <v>0.64717741935483875</v>
      </c>
      <c r="I21" s="30">
        <f t="shared" si="62"/>
        <v>0.74024640657084184</v>
      </c>
      <c r="J21" s="30">
        <f t="shared" si="62"/>
        <v>0.8</v>
      </c>
      <c r="K21" s="30">
        <f t="shared" si="62"/>
        <v>0.5755555555555556</v>
      </c>
      <c r="L21" s="30">
        <f t="shared" si="62"/>
        <v>0.46744186046511627</v>
      </c>
      <c r="M21" s="30">
        <f t="shared" si="62"/>
        <v>0.37349397590361444</v>
      </c>
      <c r="N21" s="30">
        <f t="shared" si="62"/>
        <v>0.68897149938042135</v>
      </c>
      <c r="O21" s="30">
        <f t="shared" ref="O21:Y21" si="63">O20/O22</f>
        <v>4.5312084993359898</v>
      </c>
      <c r="P21" s="30">
        <f t="shared" si="63"/>
        <v>1.0611664295874823</v>
      </c>
      <c r="Q21" s="30">
        <f t="shared" si="63"/>
        <v>0.95402298850574707</v>
      </c>
      <c r="R21" s="30">
        <f t="shared" si="63"/>
        <v>1.2281976744186047</v>
      </c>
      <c r="S21" s="30">
        <f t="shared" si="63"/>
        <v>0.94126284875183552</v>
      </c>
      <c r="T21" s="30">
        <f t="shared" si="63"/>
        <v>15.925816023738873</v>
      </c>
      <c r="U21" s="30">
        <f t="shared" si="63"/>
        <v>0.40121580547112462</v>
      </c>
      <c r="V21" s="30">
        <f t="shared" si="63"/>
        <v>3.2491749174917492</v>
      </c>
      <c r="W21" s="30">
        <f t="shared" si="63"/>
        <v>-2.2844974446337307</v>
      </c>
      <c r="X21" s="30">
        <f t="shared" si="63"/>
        <v>-0.95503597122302153</v>
      </c>
      <c r="Y21" s="30">
        <f t="shared" si="63"/>
        <v>-0.12715165313356303</v>
      </c>
      <c r="Z21" s="91">
        <f>Z20/Z22</f>
        <v>1.2426062846580406</v>
      </c>
      <c r="AC21" s="30">
        <f t="shared" ref="AC21" si="64">AC20/AC22</f>
        <v>1.4279801324503312</v>
      </c>
      <c r="AD21" s="30">
        <f t="shared" ref="AD21" si="65">AD20/AD22</f>
        <v>6.4130626654898499</v>
      </c>
      <c r="AE21" s="30">
        <f t="shared" ref="AE21:AF21" si="66">AE20/AE22</f>
        <v>-1.3014492753623188</v>
      </c>
      <c r="AF21" s="30">
        <f t="shared" si="66"/>
        <v>2.6631578947368419</v>
      </c>
      <c r="AG21" s="30">
        <f>AG20/AG22</f>
        <v>2.1036513545347466</v>
      </c>
      <c r="AH21" s="30">
        <f>AH20/AH22</f>
        <v>7.9816901408450702</v>
      </c>
      <c r="AI21" s="30">
        <f>AI20/AI22</f>
        <v>20.871165644171779</v>
      </c>
      <c r="AJ21" s="82">
        <f>AJ20/AJ22</f>
        <v>-2.2737455197132617</v>
      </c>
      <c r="AK21" s="48">
        <f t="shared" ref="AK21:AT21" si="67">AK20/AK22</f>
        <v>3.1979696236559136</v>
      </c>
      <c r="AL21" s="61">
        <f t="shared" si="67"/>
        <v>3.9089953464381715</v>
      </c>
      <c r="AM21" s="61">
        <f t="shared" si="67"/>
        <v>4.4857340185299046</v>
      </c>
      <c r="AN21" s="61">
        <f t="shared" si="67"/>
        <v>4.7979732134407005</v>
      </c>
      <c r="AO21" s="61">
        <f t="shared" si="67"/>
        <v>4.8486535013461332</v>
      </c>
      <c r="AP21" s="61">
        <f t="shared" si="67"/>
        <v>5.2768175454077815</v>
      </c>
      <c r="AQ21" s="61">
        <f t="shared" si="67"/>
        <v>5.2518605679117281</v>
      </c>
      <c r="AR21" s="61">
        <f t="shared" si="67"/>
        <v>5.3737579329735574</v>
      </c>
      <c r="AS21" s="61">
        <f t="shared" si="67"/>
        <v>5.4893907026303497</v>
      </c>
      <c r="AT21" s="61">
        <f t="shared" si="67"/>
        <v>5.5250955042181404</v>
      </c>
    </row>
    <row r="22" spans="2:94" s="29" customFormat="1">
      <c r="B22" s="29" t="s">
        <v>4</v>
      </c>
      <c r="C22" s="29">
        <v>1083</v>
      </c>
      <c r="D22" s="29">
        <v>1076</v>
      </c>
      <c r="E22" s="29">
        <v>1062</v>
      </c>
      <c r="F22" s="29">
        <v>1035</v>
      </c>
      <c r="G22" s="29">
        <v>1010</v>
      </c>
      <c r="H22" s="29">
        <v>992</v>
      </c>
      <c r="I22" s="29">
        <v>974</v>
      </c>
      <c r="J22" s="29">
        <v>950</v>
      </c>
      <c r="K22" s="29">
        <v>900</v>
      </c>
      <c r="L22" s="29">
        <v>860</v>
      </c>
      <c r="M22" s="29">
        <v>830</v>
      </c>
      <c r="N22" s="29">
        <v>807</v>
      </c>
      <c r="O22" s="29">
        <v>753</v>
      </c>
      <c r="P22" s="29">
        <v>703</v>
      </c>
      <c r="Q22" s="29">
        <v>696</v>
      </c>
      <c r="R22" s="29">
        <v>688</v>
      </c>
      <c r="S22" s="29">
        <v>681</v>
      </c>
      <c r="T22" s="29">
        <v>674</v>
      </c>
      <c r="U22" s="29">
        <v>658</v>
      </c>
      <c r="V22" s="29">
        <v>606</v>
      </c>
      <c r="W22" s="29">
        <v>587</v>
      </c>
      <c r="X22" s="29">
        <v>556</v>
      </c>
      <c r="Y22" s="29">
        <v>542.659087</v>
      </c>
      <c r="Z22" s="90">
        <v>541</v>
      </c>
      <c r="AC22" s="29">
        <v>1208</v>
      </c>
      <c r="AD22" s="29">
        <v>1133</v>
      </c>
      <c r="AE22" s="29">
        <f>F22</f>
        <v>1035</v>
      </c>
      <c r="AF22" s="29">
        <f>J22</f>
        <v>950</v>
      </c>
      <c r="AG22" s="29">
        <v>849</v>
      </c>
      <c r="AH22" s="29">
        <v>710</v>
      </c>
      <c r="AI22" s="29">
        <v>652</v>
      </c>
      <c r="AJ22" s="81">
        <v>558</v>
      </c>
      <c r="AK22" s="44">
        <f>AJ22</f>
        <v>558</v>
      </c>
      <c r="AL22" s="35">
        <f t="shared" ref="AL22:AT22" si="68">AK22</f>
        <v>558</v>
      </c>
      <c r="AM22" s="35">
        <f t="shared" si="68"/>
        <v>558</v>
      </c>
      <c r="AN22" s="35">
        <f t="shared" si="68"/>
        <v>558</v>
      </c>
      <c r="AO22" s="35">
        <f t="shared" si="68"/>
        <v>558</v>
      </c>
      <c r="AP22" s="35">
        <f t="shared" si="68"/>
        <v>558</v>
      </c>
      <c r="AQ22" s="35">
        <f t="shared" si="68"/>
        <v>558</v>
      </c>
      <c r="AR22" s="35">
        <f t="shared" si="68"/>
        <v>558</v>
      </c>
      <c r="AS22" s="35">
        <f t="shared" si="68"/>
        <v>558</v>
      </c>
      <c r="AT22" s="35">
        <f t="shared" si="68"/>
        <v>558</v>
      </c>
    </row>
    <row r="24" spans="2:94" s="2" customFormat="1">
      <c r="B24" s="2" t="s">
        <v>88</v>
      </c>
      <c r="G24" s="31">
        <f t="shared" ref="G24:J24" si="69">G4/C4-1</f>
        <v>0.12027789839339986</v>
      </c>
      <c r="H24" s="31">
        <f t="shared" si="69"/>
        <v>9.1360066143034269E-2</v>
      </c>
      <c r="I24" s="31">
        <f t="shared" si="69"/>
        <v>6.0448358686949533E-2</v>
      </c>
      <c r="J24" s="31">
        <f t="shared" si="69"/>
        <v>6.2800147765053493E-2</v>
      </c>
      <c r="K24" s="31">
        <f t="shared" ref="K24" si="70">K4/G4-1</f>
        <v>-6.4728682170542617E-2</v>
      </c>
      <c r="L24" s="31">
        <f t="shared" ref="L24" si="71">L4/H4-1</f>
        <v>-8.2196969696969657E-2</v>
      </c>
      <c r="M24" s="31">
        <f t="shared" ref="M24" si="72">M4/I4-1</f>
        <v>-0.21366553416383538</v>
      </c>
      <c r="N24" s="31">
        <f t="shared" ref="N24" si="73">N4/J4-1</f>
        <v>-0.22280152937087239</v>
      </c>
      <c r="O24" s="31">
        <f>O4/K4-1</f>
        <v>-1.6162453377538299E-2</v>
      </c>
      <c r="P24" s="31">
        <f>P4/L4-1</f>
        <v>0.18241848947585648</v>
      </c>
      <c r="Q24" s="31">
        <f>Q4/M4-1</f>
        <v>0.25108017282765238</v>
      </c>
      <c r="R24" s="31">
        <f>R4/N4-1</f>
        <v>0.28264758497316644</v>
      </c>
      <c r="S24" s="31">
        <f t="shared" ref="S24:T24" si="74">S4/O4-1</f>
        <v>0.11120471777590568</v>
      </c>
      <c r="T24" s="31">
        <f t="shared" si="74"/>
        <v>-6.8760907504363034E-2</v>
      </c>
      <c r="U24" s="31">
        <f t="shared" ref="U24:Y24" si="75">U4/Q4-1</f>
        <v>-4.0291634689178846E-2</v>
      </c>
      <c r="V24" s="31">
        <f t="shared" si="75"/>
        <v>-8.8912133891213441E-2</v>
      </c>
      <c r="W24" s="31">
        <f t="shared" si="75"/>
        <v>-5.8756633813495052E-2</v>
      </c>
      <c r="X24" s="31">
        <f t="shared" si="75"/>
        <v>-9.2203898050974509E-2</v>
      </c>
      <c r="Y24" s="31">
        <f t="shared" si="75"/>
        <v>-4.8380647740903671E-2</v>
      </c>
      <c r="Z24" s="83">
        <f t="shared" ref="Z24" si="76">Z4/V4-1</f>
        <v>-3.9418293149636408E-2</v>
      </c>
      <c r="AD24" s="31">
        <f t="shared" ref="AD24:AG24" si="77">AD4/AC4-1</f>
        <v>4.5041899441340849E-2</v>
      </c>
      <c r="AE24" s="31">
        <f t="shared" si="77"/>
        <v>0.10557968593384559</v>
      </c>
      <c r="AF24" s="31">
        <f t="shared" si="77"/>
        <v>8.2502266545784186E-2</v>
      </c>
      <c r="AG24" s="31">
        <f t="shared" si="77"/>
        <v>-0.14805509026614549</v>
      </c>
      <c r="AH24" s="31">
        <f>AH4/AG4-1</f>
        <v>0.17018022938285093</v>
      </c>
      <c r="AI24" s="31">
        <f>AI4/AH4-1</f>
        <v>-2.7349948660505885E-2</v>
      </c>
      <c r="AJ24" s="92">
        <f>AJ4/AI4-1</f>
        <v>-5.9980806142034604E-2</v>
      </c>
      <c r="AK24" s="49">
        <v>-0.01</v>
      </c>
      <c r="AL24" s="62">
        <v>0.01</v>
      </c>
      <c r="AM24" s="62">
        <v>0.02</v>
      </c>
      <c r="AN24" s="62">
        <v>0.02</v>
      </c>
      <c r="AO24" s="62">
        <v>0.02</v>
      </c>
      <c r="AP24" s="62">
        <v>0.02</v>
      </c>
      <c r="AQ24" s="62">
        <v>0.01</v>
      </c>
      <c r="AR24" s="62">
        <v>0.01</v>
      </c>
      <c r="AS24" s="62">
        <v>0.01</v>
      </c>
      <c r="AT24" s="62">
        <v>0.01</v>
      </c>
      <c r="AV24" s="50" t="s">
        <v>132</v>
      </c>
      <c r="AW24" s="53">
        <v>-0.02</v>
      </c>
    </row>
    <row r="25" spans="2:94">
      <c r="B25" s="1" t="s">
        <v>89</v>
      </c>
      <c r="D25" s="32">
        <f t="shared" ref="D25" si="78">D4/C4-1</f>
        <v>5.0369083803734283E-2</v>
      </c>
      <c r="E25" s="32">
        <f t="shared" ref="E25" si="79">E4/D4-1</f>
        <v>3.2658123191401378E-2</v>
      </c>
      <c r="F25" s="32">
        <f t="shared" ref="F25" si="80">F4/E4-1</f>
        <v>8.3666933546837408E-2</v>
      </c>
      <c r="G25" s="32">
        <f t="shared" ref="G25" si="81">G4/F4-1</f>
        <v>-4.691540450683418E-2</v>
      </c>
      <c r="H25" s="32">
        <f t="shared" ref="H25" si="82">H4/G4-1</f>
        <v>2.3255813953488413E-2</v>
      </c>
      <c r="I25" s="32">
        <f t="shared" ref="I25:K25" si="83">I4/H4-1</f>
        <v>3.4090909090909172E-3</v>
      </c>
      <c r="J25" s="32">
        <f t="shared" si="83"/>
        <v>8.6070215175537923E-2</v>
      </c>
      <c r="K25" s="32">
        <f t="shared" si="83"/>
        <v>-0.1612791101842197</v>
      </c>
      <c r="L25" s="32">
        <f t="shared" ref="L25:N25" si="84">L4/K4-1</f>
        <v>4.1442188147533532E-3</v>
      </c>
      <c r="M25" s="32">
        <f t="shared" si="84"/>
        <v>-0.14032191498142799</v>
      </c>
      <c r="N25" s="32">
        <f t="shared" si="84"/>
        <v>7.3451752280364824E-2</v>
      </c>
      <c r="O25" s="32">
        <f t="shared" ref="O25:P25" si="85">O4/N4-1</f>
        <v>6.1717352415026738E-2</v>
      </c>
      <c r="P25" s="32">
        <f t="shared" si="85"/>
        <v>0.20682392586352139</v>
      </c>
      <c r="Q25" s="32">
        <f t="shared" ref="Q25:W25" si="86">Q4/P4-1</f>
        <v>-9.0401396160558423E-2</v>
      </c>
      <c r="R25" s="32">
        <f t="shared" si="86"/>
        <v>0.10053722179585578</v>
      </c>
      <c r="S25" s="32">
        <f t="shared" si="86"/>
        <v>-8.0195258019525761E-2</v>
      </c>
      <c r="T25" s="32">
        <f t="shared" si="86"/>
        <v>1.1372251705837666E-2</v>
      </c>
      <c r="U25" s="32">
        <f t="shared" si="86"/>
        <v>-6.2593703148425828E-2</v>
      </c>
      <c r="V25" s="32">
        <f t="shared" si="86"/>
        <v>4.4782087165133877E-2</v>
      </c>
      <c r="W25" s="32">
        <f t="shared" si="86"/>
        <v>-4.9751243781094523E-2</v>
      </c>
      <c r="X25" s="32">
        <f>X4/W4-1</f>
        <v>-2.4567055980668551E-2</v>
      </c>
      <c r="Y25" s="32">
        <f>Y4/X4-1</f>
        <v>-1.7341040462427793E-2</v>
      </c>
      <c r="Z25" s="84">
        <f t="shared" ref="Z25" si="87">Z4/Y4-1</f>
        <v>5.4621848739495826E-2</v>
      </c>
      <c r="AC25" s="19" t="s">
        <v>123</v>
      </c>
      <c r="AD25" s="19" t="s">
        <v>123</v>
      </c>
      <c r="AE25" s="19" t="s">
        <v>123</v>
      </c>
      <c r="AF25" s="19" t="s">
        <v>123</v>
      </c>
      <c r="AG25" s="19" t="s">
        <v>123</v>
      </c>
      <c r="AH25" s="19" t="s">
        <v>123</v>
      </c>
      <c r="AI25" s="19" t="s">
        <v>123</v>
      </c>
      <c r="AJ25" s="94" t="s">
        <v>123</v>
      </c>
      <c r="AV25" s="13" t="s">
        <v>133</v>
      </c>
      <c r="AW25" s="54">
        <v>0.09</v>
      </c>
    </row>
    <row r="26" spans="2:94">
      <c r="AV26" s="13" t="s">
        <v>134</v>
      </c>
      <c r="AW26" s="55">
        <f>NPV(AW25,AJ20:CP20)</f>
        <v>24679.2518711056</v>
      </c>
    </row>
    <row r="27" spans="2:94">
      <c r="B27" s="1" t="s">
        <v>90</v>
      </c>
      <c r="C27" s="32">
        <f t="shared" ref="C27:G27" si="88">C6/C4</f>
        <v>0.77681285280069479</v>
      </c>
      <c r="D27" s="32">
        <f t="shared" si="88"/>
        <v>0.76849937990905337</v>
      </c>
      <c r="E27" s="32">
        <f t="shared" si="88"/>
        <v>0.77702161729383512</v>
      </c>
      <c r="F27" s="32">
        <f t="shared" si="88"/>
        <v>0.78204654599187295</v>
      </c>
      <c r="G27" s="32">
        <f t="shared" si="88"/>
        <v>0.78333333333333333</v>
      </c>
      <c r="H27" s="32">
        <f t="shared" ref="H27:I27" si="89">H6/H4</f>
        <v>0.77386363636363631</v>
      </c>
      <c r="I27" s="32">
        <f t="shared" si="89"/>
        <v>0.77047942619856546</v>
      </c>
      <c r="J27" s="32">
        <f t="shared" ref="J27:K27" si="90">J6/J4</f>
        <v>0.78519290928050056</v>
      </c>
      <c r="K27" s="32">
        <f t="shared" si="90"/>
        <v>0.77662660588479071</v>
      </c>
      <c r="L27" s="32">
        <f t="shared" ref="L27" si="91">L6/L4</f>
        <v>0.77177053239785387</v>
      </c>
      <c r="M27" s="32">
        <f t="shared" ref="M27:N27" si="92">M6/M4</f>
        <v>0.74555928948631778</v>
      </c>
      <c r="N27" s="32">
        <f t="shared" si="92"/>
        <v>0.75134168157423975</v>
      </c>
      <c r="O27" s="32">
        <f t="shared" ref="O27" si="93">O6/O4</f>
        <v>0.77843302443133955</v>
      </c>
      <c r="P27" s="32">
        <f t="shared" ref="P27" si="94">P6/P4</f>
        <v>0.79127399650959862</v>
      </c>
      <c r="Q27" s="32">
        <f t="shared" ref="Q27" si="95">Q6/Q4</f>
        <v>0.7482732156561781</v>
      </c>
      <c r="R27" s="32">
        <f t="shared" ref="R27:S27" si="96">R6/R4</f>
        <v>0.74128312412831243</v>
      </c>
      <c r="S27" s="32">
        <f t="shared" si="96"/>
        <v>0.77028051554207733</v>
      </c>
      <c r="T27" s="32">
        <f>T6/T4</f>
        <v>0.74812593703148422</v>
      </c>
      <c r="U27" s="32">
        <f>U6/U4</f>
        <v>0.72890843662534988</v>
      </c>
      <c r="V27" s="32">
        <f t="shared" ref="V27" si="97">V6/V4</f>
        <v>0.73440489858400304</v>
      </c>
      <c r="W27" s="32">
        <f t="shared" ref="W27" si="98">W6/W4</f>
        <v>0.72251308900523559</v>
      </c>
      <c r="X27" s="32">
        <f>X6/X4</f>
        <v>0.72625928984310484</v>
      </c>
      <c r="Y27" s="32">
        <f>Y6/Y4</f>
        <v>0.72815126050420165</v>
      </c>
      <c r="Z27" s="84">
        <f t="shared" ref="Z27" si="99">Z6/Z4</f>
        <v>0.72868525896414338</v>
      </c>
      <c r="AC27" s="32">
        <f t="shared" ref="AC27:AD27" si="100">AC6/AC4</f>
        <v>0.79387802607076352</v>
      </c>
      <c r="AD27" s="32">
        <f t="shared" si="100"/>
        <v>0.77647844971600399</v>
      </c>
      <c r="AE27" s="32">
        <f t="shared" ref="AE27:AG27" si="101">AE6/AE4</f>
        <v>0.77626674725496125</v>
      </c>
      <c r="AF27" s="32">
        <f t="shared" si="101"/>
        <v>0.77833612506979344</v>
      </c>
      <c r="AG27" s="32">
        <f t="shared" si="101"/>
        <v>0.76209721463681046</v>
      </c>
      <c r="AH27" s="32">
        <f t="shared" ref="AH27" si="102">AH6/AH4</f>
        <v>0.76458508354335852</v>
      </c>
      <c r="AI27" s="32">
        <f>AI6/AI4</f>
        <v>0.74568138195777356</v>
      </c>
      <c r="AJ27" s="93">
        <f>AJ6/AJ4</f>
        <v>0.72639101582440024</v>
      </c>
      <c r="AK27" s="45">
        <v>0.73</v>
      </c>
      <c r="AL27" s="63">
        <v>0.73</v>
      </c>
      <c r="AM27" s="63">
        <v>0.74</v>
      </c>
      <c r="AN27" s="63">
        <v>0.75</v>
      </c>
      <c r="AO27" s="63">
        <v>0.75</v>
      </c>
      <c r="AP27" s="63">
        <v>0.75</v>
      </c>
      <c r="AQ27" s="63">
        <v>0.75</v>
      </c>
      <c r="AR27" s="63">
        <v>0.75</v>
      </c>
      <c r="AS27" s="63">
        <v>0.75</v>
      </c>
      <c r="AT27" s="63">
        <v>0.75</v>
      </c>
      <c r="AV27" s="13" t="s">
        <v>8</v>
      </c>
      <c r="AW27" s="56">
        <f>Main!C11</f>
        <v>-4092</v>
      </c>
    </row>
    <row r="28" spans="2:94">
      <c r="B28" s="1" t="s">
        <v>91</v>
      </c>
      <c r="C28" s="32">
        <f t="shared" ref="C28:G28" si="103">C13/C4</f>
        <v>0.23751628310898829</v>
      </c>
      <c r="D28" s="32">
        <f t="shared" si="103"/>
        <v>0.19842910293509713</v>
      </c>
      <c r="E28" s="32">
        <f t="shared" si="103"/>
        <v>0.22978382706164932</v>
      </c>
      <c r="F28" s="32">
        <f t="shared" si="103"/>
        <v>0.24492057628370889</v>
      </c>
      <c r="G28" s="32">
        <f t="shared" si="103"/>
        <v>0.22441860465116278</v>
      </c>
      <c r="H28" s="32">
        <f t="shared" ref="H28:I28" si="104">H13/H4</f>
        <v>0.15378787878787878</v>
      </c>
      <c r="I28" s="32">
        <f t="shared" si="104"/>
        <v>0.20989052472631181</v>
      </c>
      <c r="J28" s="32">
        <f t="shared" ref="J28:K28" si="105">J13/J4</f>
        <v>0.23670490093847757</v>
      </c>
      <c r="K28" s="32">
        <f t="shared" si="105"/>
        <v>0.24575217571487776</v>
      </c>
      <c r="L28" s="32">
        <f t="shared" ref="L28" si="106">L13/L4</f>
        <v>0.2302930251754024</v>
      </c>
      <c r="M28" s="32">
        <f t="shared" ref="M28:N28" si="107">M13/M4</f>
        <v>0.19587133941430629</v>
      </c>
      <c r="N28" s="32">
        <f t="shared" si="107"/>
        <v>0.21377459749552774</v>
      </c>
      <c r="O28" s="32">
        <f t="shared" ref="O28" si="108">O13/O4</f>
        <v>0.26495366470092668</v>
      </c>
      <c r="P28" s="32">
        <f t="shared" ref="P28" si="109">P13/P4</f>
        <v>0.28656195462478184</v>
      </c>
      <c r="Q28" s="32">
        <f t="shared" ref="Q28" si="110">Q13/Q4</f>
        <v>0.26055257099002305</v>
      </c>
      <c r="R28" s="32">
        <f t="shared" ref="R28:S28" si="111">R13/R4</f>
        <v>0.23605299860529985</v>
      </c>
      <c r="S28" s="32">
        <f t="shared" si="111"/>
        <v>0.31880212282031845</v>
      </c>
      <c r="T28" s="32">
        <f>T13/T4</f>
        <v>0.27436281859070466</v>
      </c>
      <c r="U28" s="32">
        <f>U13/U4</f>
        <v>0.2646941223510596</v>
      </c>
      <c r="V28" s="32">
        <f t="shared" ref="V28" si="112">V13/V4</f>
        <v>0.26329889016456182</v>
      </c>
      <c r="W28" s="32">
        <f t="shared" ref="W28" si="113">W13/W4</f>
        <v>0.27869512686266612</v>
      </c>
      <c r="X28" s="32">
        <f>X13/X4</f>
        <v>0.21676300578034682</v>
      </c>
      <c r="Y28" s="32">
        <f>Y13/Y4</f>
        <v>0.23865546218487396</v>
      </c>
      <c r="Z28" s="84">
        <f t="shared" ref="Z28" si="114">Z13/Z4</f>
        <v>0.22519920318725101</v>
      </c>
      <c r="AC28" s="32">
        <f t="shared" ref="AC28:AD28" si="115">AC13/AC4</f>
        <v>0.25570297951582865</v>
      </c>
      <c r="AD28" s="32">
        <f t="shared" si="115"/>
        <v>0.25893752088205813</v>
      </c>
      <c r="AE28" s="32">
        <f t="shared" ref="AE28:AG28" si="116">AE13/AE4</f>
        <v>0.17004130150095698</v>
      </c>
      <c r="AF28" s="32">
        <f t="shared" si="116"/>
        <v>0.20677461380978968</v>
      </c>
      <c r="AG28" s="32">
        <f t="shared" si="116"/>
        <v>0.2225013653741125</v>
      </c>
      <c r="AH28" s="32">
        <f t="shared" ref="AH28" si="117">AH13/AH4</f>
        <v>0.26192476430504996</v>
      </c>
      <c r="AI28" s="32">
        <f>AI13/AI4</f>
        <v>0.28051823416506716</v>
      </c>
      <c r="AJ28" s="93">
        <f>AJ13/AJ4</f>
        <v>0.23994384890250128</v>
      </c>
      <c r="AK28" s="45">
        <f t="shared" ref="AK28:AT28" si="118">AK13/AK4</f>
        <v>0.20845663371850201</v>
      </c>
      <c r="AL28" s="63">
        <f t="shared" si="118"/>
        <v>0.25850549963112696</v>
      </c>
      <c r="AM28" s="63">
        <f t="shared" si="118"/>
        <v>0.30827044388684027</v>
      </c>
      <c r="AN28" s="63">
        <f t="shared" si="118"/>
        <v>0.32871901390733238</v>
      </c>
      <c r="AO28" s="63">
        <f t="shared" si="118"/>
        <v>0.32921905202596891</v>
      </c>
      <c r="AP28" s="63">
        <f t="shared" si="118"/>
        <v>0.3492906735227419</v>
      </c>
      <c r="AQ28" s="63">
        <f t="shared" si="118"/>
        <v>0.34979528342615296</v>
      </c>
      <c r="AR28" s="63">
        <f t="shared" si="118"/>
        <v>0.35099630881350069</v>
      </c>
      <c r="AS28" s="63">
        <f t="shared" si="118"/>
        <v>0.35119470332547265</v>
      </c>
      <c r="AT28" s="63">
        <f t="shared" si="118"/>
        <v>0.35136879172031332</v>
      </c>
      <c r="AV28" s="13" t="s">
        <v>135</v>
      </c>
      <c r="AW28" s="56">
        <f>AW26-AW27</f>
        <v>28771.2518711056</v>
      </c>
    </row>
    <row r="29" spans="2:94">
      <c r="B29" s="1" t="s">
        <v>92</v>
      </c>
      <c r="C29" s="32">
        <f t="shared" ref="C29:G29" si="119">C20/C4</f>
        <v>0.44941380807642206</v>
      </c>
      <c r="D29" s="32">
        <f t="shared" si="119"/>
        <v>1.1988424968995453E-2</v>
      </c>
      <c r="E29" s="32">
        <f t="shared" si="119"/>
        <v>0.20816653322658127</v>
      </c>
      <c r="F29" s="32">
        <f t="shared" si="119"/>
        <v>-0.96084226080531954</v>
      </c>
      <c r="G29" s="32">
        <f t="shared" si="119"/>
        <v>0.15775193798449613</v>
      </c>
      <c r="H29" s="32">
        <f t="shared" ref="H29:I29" si="120">H20/H4</f>
        <v>0.24318181818181819</v>
      </c>
      <c r="I29" s="32">
        <f t="shared" si="120"/>
        <v>0.27217818044545111</v>
      </c>
      <c r="J29" s="32">
        <f t="shared" ref="J29:K29" si="121">J20/J4</f>
        <v>0.26416405978449775</v>
      </c>
      <c r="K29" s="32">
        <f t="shared" si="121"/>
        <v>0.21467053460422711</v>
      </c>
      <c r="L29" s="32">
        <f t="shared" ref="L29" si="122">L20/L4</f>
        <v>0.16591002888980602</v>
      </c>
      <c r="M29" s="32">
        <f t="shared" ref="M29:N29" si="123">M20/M4</f>
        <v>0.14882381180988957</v>
      </c>
      <c r="N29" s="32">
        <f t="shared" si="123"/>
        <v>0.24865831842576028</v>
      </c>
      <c r="O29" s="32">
        <f t="shared" ref="O29" si="124">O20/O4</f>
        <v>1.4372367312552654</v>
      </c>
      <c r="P29" s="32">
        <f t="shared" ref="P29" si="125">P20/P4</f>
        <v>0.26038394415357768</v>
      </c>
      <c r="Q29" s="32">
        <f t="shared" ref="Q29" si="126">Q20/Q4</f>
        <v>0.25479662317728319</v>
      </c>
      <c r="R29" s="32">
        <f t="shared" ref="R29:S29" si="127">R20/R4</f>
        <v>0.29463040446304045</v>
      </c>
      <c r="S29" s="32">
        <f t="shared" si="127"/>
        <v>0.24298711144806673</v>
      </c>
      <c r="T29" s="32">
        <f>T20/T4</f>
        <v>4.0232383808095955</v>
      </c>
      <c r="U29" s="32">
        <f>U20/U4</f>
        <v>0.10555777688924431</v>
      </c>
      <c r="V29" s="32">
        <f t="shared" ref="V29" si="128">V20/V4</f>
        <v>0.75353999234596247</v>
      </c>
      <c r="W29" s="32">
        <f t="shared" ref="W29" si="129">W20/W4</f>
        <v>-0.54007249295207416</v>
      </c>
      <c r="X29" s="32">
        <f>X20/X4</f>
        <v>-0.21924029727497935</v>
      </c>
      <c r="Y29" s="32">
        <f>Y20/Y4</f>
        <v>-2.8991596638655463E-2</v>
      </c>
      <c r="Z29" s="84">
        <f t="shared" ref="Z29" si="130">Z20/Z4</f>
        <v>0.26782868525896414</v>
      </c>
      <c r="AC29" s="32">
        <f t="shared" ref="AC29:AD29" si="131">AC20/AC4</f>
        <v>0.20076815642458101</v>
      </c>
      <c r="AD29" s="32">
        <f t="shared" si="131"/>
        <v>0.80922151687270294</v>
      </c>
      <c r="AE29" s="32">
        <f t="shared" ref="AE29:AG29" si="132">AE20/AE4</f>
        <v>-0.13569054094892716</v>
      </c>
      <c r="AF29" s="32">
        <f t="shared" si="132"/>
        <v>0.23543644146659223</v>
      </c>
      <c r="AG29" s="32">
        <f t="shared" si="132"/>
        <v>0.19508465319497542</v>
      </c>
      <c r="AH29" s="32">
        <f t="shared" ref="AH29" si="133">AH20/AH4</f>
        <v>0.52898347801736212</v>
      </c>
      <c r="AI29" s="32">
        <f>AI20/AI4</f>
        <v>1.3059500959692898</v>
      </c>
      <c r="AJ29" s="93">
        <f>AJ20/AJ4</f>
        <v>-0.12953037263910158</v>
      </c>
      <c r="AK29" s="45">
        <f t="shared" ref="AK29:AT29" si="134">AK20/AK4</f>
        <v>0.18402164060203874</v>
      </c>
      <c r="AL29" s="63">
        <f t="shared" si="134"/>
        <v>0.22270929525954128</v>
      </c>
      <c r="AM29" s="63">
        <f t="shared" si="134"/>
        <v>0.25055699800126313</v>
      </c>
      <c r="AN29" s="63">
        <f t="shared" si="134"/>
        <v>0.26274270436887653</v>
      </c>
      <c r="AO29" s="63">
        <f t="shared" si="134"/>
        <v>0.26031178142146932</v>
      </c>
      <c r="AP29" s="63">
        <f t="shared" si="134"/>
        <v>0.27774393308061812</v>
      </c>
      <c r="AQ29" s="63">
        <f t="shared" si="134"/>
        <v>0.27369339504439505</v>
      </c>
      <c r="AR29" s="63">
        <f t="shared" si="134"/>
        <v>0.27727317461482276</v>
      </c>
      <c r="AS29" s="63">
        <f t="shared" si="134"/>
        <v>0.28043519950760593</v>
      </c>
      <c r="AT29" s="63">
        <f t="shared" si="134"/>
        <v>0.27946459626645032</v>
      </c>
      <c r="AV29" s="3" t="s">
        <v>136</v>
      </c>
      <c r="AW29" s="57">
        <f>AW28/Main!C7</f>
        <v>53.181611591692423</v>
      </c>
    </row>
    <row r="30" spans="2:94">
      <c r="B30" s="1" t="s">
        <v>93</v>
      </c>
      <c r="C30" s="32">
        <f t="shared" ref="C30:G30" si="135">ABS(C17)/ABS(C16)</f>
        <v>0.85483870967741937</v>
      </c>
      <c r="D30" s="32">
        <f t="shared" si="135"/>
        <v>0.93722943722943719</v>
      </c>
      <c r="E30" s="32">
        <f t="shared" si="135"/>
        <v>0.25072046109510088</v>
      </c>
      <c r="F30" s="32">
        <f t="shared" si="135"/>
        <v>5.6292335115864525</v>
      </c>
      <c r="G30" s="32">
        <f t="shared" si="135"/>
        <v>0.25594149908592323</v>
      </c>
      <c r="H30" s="32">
        <f t="shared" ref="H30:I30" si="136">ABS(H17)/ABS(H16)</f>
        <v>9.7595473833097593E-2</v>
      </c>
      <c r="I30" s="32">
        <f t="shared" si="136"/>
        <v>0.24050632911392406</v>
      </c>
      <c r="J30" s="32">
        <f t="shared" ref="J30:K30" si="137">ABS(J17)/ABS(J16)</f>
        <v>0.47868217054263568</v>
      </c>
      <c r="K30" s="32">
        <f t="shared" si="137"/>
        <v>0.21461187214611871</v>
      </c>
      <c r="L30" s="32">
        <f t="shared" ref="L30" si="138">ABS(L17)/ABS(L16)</f>
        <v>0.21104536489151873</v>
      </c>
      <c r="M30" s="32">
        <f t="shared" ref="M30:N30" si="139">ABS(M17)/ABS(M16)</f>
        <v>0.21052631578947367</v>
      </c>
      <c r="N30" s="32">
        <f t="shared" si="139"/>
        <v>5.0607287449392711E-2</v>
      </c>
      <c r="O30" s="32">
        <f t="shared" ref="O30" si="140">ABS(O17)/ABS(O16)</f>
        <v>0.23137876386687797</v>
      </c>
      <c r="P30" s="32">
        <f t="shared" ref="P30" si="141">ABS(P17)/ABS(P16)</f>
        <v>0.26221335992023931</v>
      </c>
      <c r="Q30" s="32">
        <f t="shared" ref="Q30" si="142">ABS(Q17)/ABS(Q16)</f>
        <v>0.19767441860465115</v>
      </c>
      <c r="R30" s="32">
        <f t="shared" ref="R30:S30" si="143">ABS(R17)/ABS(R16)</f>
        <v>0.29576194770063119</v>
      </c>
      <c r="S30" s="32">
        <f t="shared" si="143"/>
        <v>0.21546961325966851</v>
      </c>
      <c r="T30" s="32">
        <f>ABS(T17)/ABS(T16)</f>
        <v>0.26683291770573564</v>
      </c>
      <c r="U30" s="32">
        <f>ABS(U17)/ABS(U16)</f>
        <v>0.34792626728110598</v>
      </c>
      <c r="V30" s="32">
        <f t="shared" ref="V30" si="144">ABS(V17)/ABS(V16)</f>
        <v>0.23083548664944015</v>
      </c>
      <c r="W30" s="32">
        <f t="shared" ref="W30" si="145">ABS(W17)/ABS(W16)</f>
        <v>0.18799272286234081</v>
      </c>
      <c r="X30" s="32">
        <f>ABS(X17)/ABS(X16)</f>
        <v>0.2627235213204952</v>
      </c>
      <c r="Y30" s="32">
        <f>ABS(Y17)/ABS(Y16)</f>
        <v>0.29629629629629628</v>
      </c>
      <c r="Z30" s="84">
        <f t="shared" ref="Z30" si="146">ABS(Z17)/ABS(Z16)</f>
        <v>0.19053361471208924</v>
      </c>
      <c r="AC30" s="32">
        <f t="shared" ref="AC30:AD30" si="147">ABS(AC17)/ABS(AC16)</f>
        <v>0.19077306733167082</v>
      </c>
      <c r="AD30" s="32">
        <f t="shared" si="147"/>
        <v>0.99534374144070115</v>
      </c>
      <c r="AE30" s="32">
        <f t="shared" ref="AE30:AG30" si="148">ABS(AE17)/ABS(AE16)</f>
        <v>1.5999109924343569</v>
      </c>
      <c r="AF30" s="32">
        <f t="shared" si="148"/>
        <v>6.9904341427520236E-2</v>
      </c>
      <c r="AG30" s="32">
        <f t="shared" si="148"/>
        <v>0.17099792099792099</v>
      </c>
      <c r="AH30" s="32">
        <f t="shared" ref="AH30" si="149">ABS(AH17)/ABS(AH16)</f>
        <v>0.25305658231447259</v>
      </c>
      <c r="AI30" s="32">
        <f>ABS(AI17)/ABS(AI16)</f>
        <v>0.36683417085427134</v>
      </c>
      <c r="AJ30" s="93">
        <f>ABS(AJ17)/ABS(AJ16)</f>
        <v>0.2042792441043261</v>
      </c>
      <c r="AK30" s="45">
        <v>0.25</v>
      </c>
      <c r="AL30" s="63">
        <v>0.25</v>
      </c>
      <c r="AM30" s="63">
        <v>0.25</v>
      </c>
      <c r="AN30" s="63">
        <v>0.25</v>
      </c>
      <c r="AO30" s="63">
        <v>0.25</v>
      </c>
      <c r="AP30" s="63">
        <v>0.25</v>
      </c>
      <c r="AQ30" s="63">
        <v>0.25</v>
      </c>
      <c r="AR30" s="63">
        <v>0.25</v>
      </c>
      <c r="AS30" s="63">
        <v>0.25</v>
      </c>
      <c r="AT30" s="63">
        <v>0.25</v>
      </c>
      <c r="AV30" s="13" t="s">
        <v>137</v>
      </c>
      <c r="AW30" s="51">
        <f>Main!C6</f>
        <v>45.35</v>
      </c>
    </row>
    <row r="31" spans="2:94">
      <c r="AV31" s="14" t="s">
        <v>138</v>
      </c>
      <c r="AW31" s="52">
        <f>AW29/AW30-1</f>
        <v>0.17269264810788143</v>
      </c>
    </row>
    <row r="32" spans="2:94">
      <c r="U32" s="29"/>
    </row>
    <row r="34" spans="2:46">
      <c r="B34" s="33" t="s">
        <v>94</v>
      </c>
    </row>
    <row r="35" spans="2:46" s="2" customFormat="1">
      <c r="B35" s="2" t="s">
        <v>6</v>
      </c>
      <c r="C35" s="28"/>
      <c r="D35" s="28"/>
      <c r="F35" s="28">
        <v>2120</v>
      </c>
      <c r="G35" s="28">
        <v>2527</v>
      </c>
      <c r="H35" s="28">
        <v>1619</v>
      </c>
      <c r="I35" s="28">
        <v>2086</v>
      </c>
      <c r="J35" s="28">
        <v>2202</v>
      </c>
      <c r="K35" s="28"/>
      <c r="L35" s="28"/>
      <c r="M35" s="28"/>
      <c r="N35" s="28">
        <v>901</v>
      </c>
      <c r="O35" s="28">
        <v>880</v>
      </c>
      <c r="P35" s="28">
        <v>1006</v>
      </c>
      <c r="Q35" s="28">
        <v>963</v>
      </c>
      <c r="R35" s="28">
        <v>1428</v>
      </c>
      <c r="V35" s="28">
        <v>1379</v>
      </c>
      <c r="W35" s="28">
        <v>1798</v>
      </c>
      <c r="X35" s="28">
        <v>1742</v>
      </c>
      <c r="Y35" s="28">
        <v>2037</v>
      </c>
      <c r="Z35" s="89">
        <v>2154</v>
      </c>
      <c r="AC35" s="28">
        <v>1832</v>
      </c>
      <c r="AD35" s="28">
        <v>1816</v>
      </c>
      <c r="AE35" s="28">
        <f>F35</f>
        <v>2120</v>
      </c>
      <c r="AF35" s="28">
        <f>J35</f>
        <v>2202</v>
      </c>
      <c r="AG35" s="28">
        <f>N35</f>
        <v>901</v>
      </c>
      <c r="AH35" s="28">
        <f>R35</f>
        <v>1428</v>
      </c>
      <c r="AI35" s="28">
        <f>V35</f>
        <v>1379</v>
      </c>
      <c r="AJ35" s="80">
        <f>Z35</f>
        <v>2154</v>
      </c>
      <c r="AK35" s="43"/>
      <c r="AL35" s="64"/>
      <c r="AM35" s="64"/>
      <c r="AN35" s="64"/>
      <c r="AO35" s="64"/>
      <c r="AP35" s="64"/>
      <c r="AQ35" s="64"/>
      <c r="AR35" s="64"/>
      <c r="AS35" s="64"/>
      <c r="AT35" s="64"/>
    </row>
    <row r="36" spans="2:46" s="2" customFormat="1">
      <c r="B36" s="2" t="s">
        <v>95</v>
      </c>
      <c r="C36" s="28"/>
      <c r="D36" s="28"/>
      <c r="F36" s="28">
        <v>3743</v>
      </c>
      <c r="G36" s="28">
        <v>2279</v>
      </c>
      <c r="H36" s="28">
        <v>2388</v>
      </c>
      <c r="I36" s="28">
        <v>2752</v>
      </c>
      <c r="J36" s="28">
        <v>2713</v>
      </c>
      <c r="K36" s="28"/>
      <c r="L36" s="28"/>
      <c r="M36" s="28"/>
      <c r="N36" s="28">
        <v>1850</v>
      </c>
      <c r="O36" s="28">
        <v>3550</v>
      </c>
      <c r="P36" s="28">
        <v>4297</v>
      </c>
      <c r="Q36" s="28">
        <v>2697</v>
      </c>
      <c r="R36" s="28">
        <v>2398</v>
      </c>
      <c r="V36" s="28">
        <v>5944</v>
      </c>
      <c r="W36" s="28">
        <v>3771</v>
      </c>
      <c r="X36" s="28">
        <v>1483</v>
      </c>
      <c r="Y36" s="28">
        <v>1457</v>
      </c>
      <c r="Z36" s="89">
        <v>2625</v>
      </c>
      <c r="AC36" s="28">
        <v>4299</v>
      </c>
      <c r="AD36" s="28">
        <v>5333</v>
      </c>
      <c r="AE36" s="28">
        <f>F36</f>
        <v>3743</v>
      </c>
      <c r="AF36" s="28">
        <f>J36</f>
        <v>2713</v>
      </c>
      <c r="AG36" s="28">
        <f>N36</f>
        <v>1850</v>
      </c>
      <c r="AH36" s="28">
        <f>R36</f>
        <v>2398</v>
      </c>
      <c r="AI36" s="28">
        <f>V36</f>
        <v>5944</v>
      </c>
      <c r="AJ36" s="80">
        <f>Z36</f>
        <v>2625</v>
      </c>
      <c r="AK36" s="43"/>
      <c r="AL36" s="64"/>
      <c r="AM36" s="64"/>
      <c r="AN36" s="64"/>
      <c r="AO36" s="64"/>
      <c r="AP36" s="64"/>
      <c r="AQ36" s="64"/>
      <c r="AR36" s="64"/>
      <c r="AS36" s="64"/>
      <c r="AT36" s="64"/>
    </row>
    <row r="37" spans="2:46">
      <c r="B37" s="1" t="s">
        <v>104</v>
      </c>
      <c r="C37" s="29">
        <v>0</v>
      </c>
      <c r="D37" s="29">
        <v>0</v>
      </c>
      <c r="E37" s="29">
        <v>0</v>
      </c>
      <c r="F37" s="29">
        <v>0</v>
      </c>
      <c r="G37" s="29">
        <v>0</v>
      </c>
      <c r="H37" s="29">
        <v>0</v>
      </c>
      <c r="I37" s="29">
        <v>0</v>
      </c>
      <c r="J37" s="29">
        <v>0</v>
      </c>
      <c r="K37" s="29">
        <v>0</v>
      </c>
      <c r="L37" s="29">
        <v>0</v>
      </c>
      <c r="M37" s="29">
        <v>0</v>
      </c>
      <c r="N37" s="29">
        <v>0</v>
      </c>
      <c r="O37" s="29">
        <v>0</v>
      </c>
      <c r="P37" s="29">
        <v>0</v>
      </c>
      <c r="Q37" s="29">
        <v>0</v>
      </c>
      <c r="R37" s="29">
        <v>0</v>
      </c>
      <c r="S37" s="29">
        <v>0</v>
      </c>
      <c r="T37" s="29">
        <v>0</v>
      </c>
      <c r="U37" s="29">
        <v>0</v>
      </c>
      <c r="V37" s="29">
        <v>0</v>
      </c>
      <c r="W37" s="29">
        <v>0</v>
      </c>
      <c r="X37" s="29">
        <v>0</v>
      </c>
      <c r="Y37" s="29">
        <v>0</v>
      </c>
      <c r="Z37" s="90">
        <v>2692</v>
      </c>
      <c r="AC37" s="29">
        <v>0</v>
      </c>
      <c r="AD37" s="29">
        <v>0</v>
      </c>
      <c r="AE37" s="29">
        <v>0</v>
      </c>
      <c r="AF37" s="29">
        <v>0</v>
      </c>
      <c r="AG37" s="29">
        <v>0</v>
      </c>
      <c r="AH37" s="29">
        <v>0</v>
      </c>
      <c r="AI37" s="29">
        <v>0</v>
      </c>
      <c r="AJ37" s="81">
        <f>Z37</f>
        <v>2692</v>
      </c>
    </row>
    <row r="38" spans="2:46">
      <c r="B38" s="1" t="s">
        <v>96</v>
      </c>
      <c r="C38" s="29"/>
      <c r="D38" s="29"/>
      <c r="F38" s="29">
        <v>696</v>
      </c>
      <c r="G38" s="29">
        <v>683</v>
      </c>
      <c r="H38" s="29">
        <v>745</v>
      </c>
      <c r="I38" s="29">
        <v>761</v>
      </c>
      <c r="J38" s="29">
        <v>712</v>
      </c>
      <c r="K38" s="29"/>
      <c r="L38" s="29"/>
      <c r="M38" s="29"/>
      <c r="N38" s="29">
        <v>555</v>
      </c>
      <c r="O38" s="29">
        <v>635</v>
      </c>
      <c r="P38" s="29">
        <v>845</v>
      </c>
      <c r="Q38" s="29">
        <v>477</v>
      </c>
      <c r="R38" s="29">
        <v>412</v>
      </c>
      <c r="V38" s="29">
        <v>681</v>
      </c>
      <c r="W38" s="29">
        <v>626</v>
      </c>
      <c r="X38" s="29">
        <v>605</v>
      </c>
      <c r="Y38" s="29">
        <v>633</v>
      </c>
      <c r="Z38" s="90">
        <v>763</v>
      </c>
      <c r="AC38" s="29">
        <v>619</v>
      </c>
      <c r="AD38" s="29">
        <v>592</v>
      </c>
      <c r="AE38" s="29">
        <f>F38</f>
        <v>696</v>
      </c>
      <c r="AF38" s="29">
        <f>J38</f>
        <v>712</v>
      </c>
      <c r="AG38" s="29">
        <f>N38</f>
        <v>555</v>
      </c>
      <c r="AH38" s="29">
        <f>AG38+R38</f>
        <v>967</v>
      </c>
      <c r="AI38" s="29">
        <f>V38</f>
        <v>681</v>
      </c>
      <c r="AJ38" s="81">
        <f t="shared" ref="AJ38:AJ39" si="150">Z38</f>
        <v>763</v>
      </c>
    </row>
    <row r="39" spans="2:46">
      <c r="B39" s="1" t="s">
        <v>97</v>
      </c>
      <c r="C39" s="29"/>
      <c r="D39" s="29"/>
      <c r="F39" s="29">
        <v>1185</v>
      </c>
      <c r="G39" s="29">
        <v>1274</v>
      </c>
      <c r="H39" s="29">
        <v>1432</v>
      </c>
      <c r="I39" s="29">
        <v>1364</v>
      </c>
      <c r="J39" s="29">
        <v>1499</v>
      </c>
      <c r="K39" s="29"/>
      <c r="L39" s="29"/>
      <c r="M39" s="29"/>
      <c r="N39" s="29">
        <f>1064+141+195</f>
        <v>1400</v>
      </c>
      <c r="O39" s="29">
        <v>1183</v>
      </c>
      <c r="P39" s="29">
        <v>1246</v>
      </c>
      <c r="Q39" s="29">
        <f>1486+1116</f>
        <v>2602</v>
      </c>
      <c r="R39" s="29">
        <f>1764+1188</f>
        <v>2952</v>
      </c>
      <c r="V39" s="29">
        <v>1107</v>
      </c>
      <c r="W39" s="29">
        <v>1154</v>
      </c>
      <c r="X39" s="29">
        <v>1237</v>
      </c>
      <c r="Y39" s="29">
        <v>1162</v>
      </c>
      <c r="Z39" s="90">
        <v>1056</v>
      </c>
      <c r="AC39" s="29">
        <v>1154</v>
      </c>
      <c r="AD39" s="29">
        <v>1134</v>
      </c>
      <c r="AE39" s="29">
        <f>F39</f>
        <v>1185</v>
      </c>
      <c r="AF39" s="29">
        <f>J39</f>
        <v>1499</v>
      </c>
      <c r="AG39" s="29">
        <f>N39</f>
        <v>1400</v>
      </c>
      <c r="AH39" s="29">
        <f t="shared" ref="AH39:AH47" si="151">AG39+R39</f>
        <v>4352</v>
      </c>
      <c r="AI39" s="29">
        <f>V39</f>
        <v>1107</v>
      </c>
      <c r="AJ39" s="81">
        <f t="shared" si="150"/>
        <v>1056</v>
      </c>
    </row>
    <row r="40" spans="2:46">
      <c r="B40" s="1" t="s">
        <v>98</v>
      </c>
      <c r="C40" s="29">
        <f>SUM(C35:C39)</f>
        <v>0</v>
      </c>
      <c r="D40" s="29">
        <f>SUM(D35:D39)</f>
        <v>0</v>
      </c>
      <c r="E40" s="29">
        <f>SUM(E35:E39)</f>
        <v>0</v>
      </c>
      <c r="F40" s="29">
        <f>SUM(F35:F39)</f>
        <v>7744</v>
      </c>
      <c r="G40" s="29">
        <f>SUM(G35:G39)</f>
        <v>6763</v>
      </c>
      <c r="H40" s="29">
        <f>SUM(H35:H39)</f>
        <v>6184</v>
      </c>
      <c r="I40" s="29">
        <f>SUM(I35:I39)</f>
        <v>6963</v>
      </c>
      <c r="J40" s="29">
        <f>SUM(J35:J39)</f>
        <v>7126</v>
      </c>
      <c r="K40" s="29">
        <f>SUM(K35:K39)</f>
        <v>0</v>
      </c>
      <c r="L40" s="29">
        <f>SUM(L35:L39)</f>
        <v>0</v>
      </c>
      <c r="M40" s="29">
        <f>SUM(M35:M39)</f>
        <v>0</v>
      </c>
      <c r="N40" s="29">
        <f>SUM(N35:N39)</f>
        <v>4706</v>
      </c>
      <c r="O40" s="29">
        <f>SUM(O35:O39)</f>
        <v>6248</v>
      </c>
      <c r="P40" s="29">
        <f>SUM(P35:P39)</f>
        <v>7394</v>
      </c>
      <c r="Q40" s="29">
        <f>SUM(Q35:Q39)</f>
        <v>6739</v>
      </c>
      <c r="R40" s="29">
        <f>SUM(R35:R39)</f>
        <v>7190</v>
      </c>
      <c r="S40" s="29">
        <f>SUM(S35:S39)</f>
        <v>0</v>
      </c>
      <c r="T40" s="29">
        <f>SUM(T35:T39)</f>
        <v>0</v>
      </c>
      <c r="U40" s="29">
        <f>SUM(U35:U39)</f>
        <v>0</v>
      </c>
      <c r="V40" s="29">
        <f>SUM(V35:V39)</f>
        <v>9111</v>
      </c>
      <c r="W40" s="29">
        <f>SUM(W35:W39)</f>
        <v>7349</v>
      </c>
      <c r="X40" s="29">
        <f>SUM(X35:X39)</f>
        <v>5067</v>
      </c>
      <c r="Y40" s="29">
        <f>SUM(Y35:Y39)</f>
        <v>5289</v>
      </c>
      <c r="Z40" s="29">
        <f>SUM(Z35:Z39)</f>
        <v>9290</v>
      </c>
      <c r="AC40" s="29">
        <f>SUM(AC35:AC39)</f>
        <v>7904</v>
      </c>
      <c r="AD40" s="29">
        <f>SUM(AD35:AD39)</f>
        <v>8875</v>
      </c>
      <c r="AE40" s="29">
        <f>SUM(AE35:AE39)</f>
        <v>7744</v>
      </c>
      <c r="AF40" s="29">
        <f>SUM(AF35:AF39)</f>
        <v>7126</v>
      </c>
      <c r="AG40" s="29">
        <f>SUM(AG35:AG39)</f>
        <v>4706</v>
      </c>
      <c r="AH40" s="29">
        <f>SUM(AH35:AH39)</f>
        <v>9145</v>
      </c>
      <c r="AI40" s="29">
        <f>SUM(AI35:AI39)</f>
        <v>9111</v>
      </c>
      <c r="AJ40" s="29">
        <f>SUM(AJ35:AJ39)</f>
        <v>9290</v>
      </c>
    </row>
    <row r="41" spans="2:46">
      <c r="B41" s="1" t="s">
        <v>99</v>
      </c>
      <c r="C41" s="29"/>
      <c r="D41" s="29"/>
      <c r="E41" s="29"/>
      <c r="F41" s="29">
        <v>6331</v>
      </c>
      <c r="G41" s="29">
        <v>5919</v>
      </c>
      <c r="H41" s="29">
        <v>5418</v>
      </c>
      <c r="I41" s="29">
        <v>4276</v>
      </c>
      <c r="J41" s="29">
        <v>3778</v>
      </c>
      <c r="K41" s="29"/>
      <c r="L41" s="29"/>
      <c r="M41" s="29"/>
      <c r="N41" s="29">
        <v>1275</v>
      </c>
      <c r="O41" s="29">
        <v>1077</v>
      </c>
      <c r="P41" s="29">
        <v>832</v>
      </c>
      <c r="Q41" s="29">
        <v>663</v>
      </c>
      <c r="R41" s="29">
        <v>833</v>
      </c>
      <c r="V41" s="29">
        <v>2575</v>
      </c>
      <c r="W41" s="29">
        <v>2213</v>
      </c>
      <c r="X41" s="29">
        <v>2146</v>
      </c>
      <c r="Y41" s="29">
        <v>1971</v>
      </c>
      <c r="Z41" s="90">
        <v>1797</v>
      </c>
      <c r="AC41" s="29">
        <v>3391</v>
      </c>
      <c r="AD41" s="29">
        <v>3969</v>
      </c>
      <c r="AE41" s="29">
        <f t="shared" ref="AE41:AE47" si="152">F41</f>
        <v>6331</v>
      </c>
      <c r="AF41" s="29">
        <f t="shared" ref="AF41:AF47" si="153">J41</f>
        <v>3778</v>
      </c>
      <c r="AG41" s="29">
        <f t="shared" ref="AG41:AG47" si="154">N41</f>
        <v>1275</v>
      </c>
      <c r="AH41" s="29">
        <f t="shared" si="151"/>
        <v>2108</v>
      </c>
      <c r="AI41" s="29">
        <f t="shared" ref="AI41:AI61" si="155">V41</f>
        <v>2575</v>
      </c>
      <c r="AJ41" s="81">
        <f t="shared" ref="AJ41:AJ47" si="156">Z41</f>
        <v>1797</v>
      </c>
    </row>
    <row r="42" spans="2:46">
      <c r="B42" s="1" t="s">
        <v>100</v>
      </c>
      <c r="C42" s="29"/>
      <c r="D42" s="29"/>
      <c r="E42" s="29"/>
      <c r="F42" s="29">
        <v>1597</v>
      </c>
      <c r="G42" s="29">
        <v>1548</v>
      </c>
      <c r="H42" s="29">
        <v>1576</v>
      </c>
      <c r="I42" s="29">
        <v>1580</v>
      </c>
      <c r="J42" s="29">
        <v>1597</v>
      </c>
      <c r="K42" s="29"/>
      <c r="L42" s="29"/>
      <c r="M42" s="29"/>
      <c r="N42" s="29">
        <v>1460</v>
      </c>
      <c r="O42" s="29">
        <v>1409</v>
      </c>
      <c r="P42" s="29">
        <v>1364</v>
      </c>
      <c r="Q42" s="29">
        <v>1301</v>
      </c>
      <c r="R42" s="29">
        <v>1358</v>
      </c>
      <c r="V42" s="29">
        <v>1236</v>
      </c>
      <c r="W42" s="29">
        <v>1192</v>
      </c>
      <c r="X42" s="29">
        <v>1173</v>
      </c>
      <c r="Y42" s="29">
        <v>1194</v>
      </c>
      <c r="Z42" s="90">
        <v>1238</v>
      </c>
      <c r="AC42" s="29">
        <v>1554</v>
      </c>
      <c r="AD42" s="29">
        <v>1516</v>
      </c>
      <c r="AE42" s="29">
        <f t="shared" si="152"/>
        <v>1597</v>
      </c>
      <c r="AF42" s="29">
        <f t="shared" si="153"/>
        <v>1597</v>
      </c>
      <c r="AG42" s="29">
        <f t="shared" si="154"/>
        <v>1460</v>
      </c>
      <c r="AH42" s="29">
        <f t="shared" si="151"/>
        <v>2818</v>
      </c>
      <c r="AI42" s="29">
        <f t="shared" si="155"/>
        <v>1236</v>
      </c>
      <c r="AJ42" s="81">
        <f t="shared" si="156"/>
        <v>1238</v>
      </c>
    </row>
    <row r="43" spans="2:46">
      <c r="B43" s="1" t="s">
        <v>101</v>
      </c>
      <c r="C43" s="29"/>
      <c r="D43" s="29"/>
      <c r="E43" s="29"/>
      <c r="F43" s="29">
        <f>4773+69</f>
        <v>4842</v>
      </c>
      <c r="G43" s="29">
        <f>53+4815</f>
        <v>4868</v>
      </c>
      <c r="H43" s="29">
        <f>5199+123</f>
        <v>5322</v>
      </c>
      <c r="I43" s="29">
        <f>106+5170</f>
        <v>5276</v>
      </c>
      <c r="J43" s="29">
        <f>5160+92</f>
        <v>5252</v>
      </c>
      <c r="K43" s="29"/>
      <c r="L43" s="29"/>
      <c r="M43" s="29"/>
      <c r="N43" s="29">
        <f>39+4533</f>
        <v>4572</v>
      </c>
      <c r="O43" s="29">
        <f>50+4850</f>
        <v>4900</v>
      </c>
      <c r="P43" s="29">
        <f>4910+56</f>
        <v>4966</v>
      </c>
      <c r="Q43" s="29">
        <f>19+4357</f>
        <v>4376</v>
      </c>
      <c r="R43" s="29">
        <f>12+4675</f>
        <v>4687</v>
      </c>
      <c r="V43" s="29">
        <v>4178</v>
      </c>
      <c r="W43" s="29">
        <v>4141</v>
      </c>
      <c r="X43" s="29">
        <v>4113</v>
      </c>
      <c r="Y43" s="29">
        <v>4058</v>
      </c>
      <c r="Z43" s="90">
        <v>4262</v>
      </c>
      <c r="AC43" s="29">
        <f>4451+90</f>
        <v>4541</v>
      </c>
      <c r="AD43" s="29">
        <f>4501+102</f>
        <v>4603</v>
      </c>
      <c r="AE43" s="29">
        <f t="shared" si="152"/>
        <v>4842</v>
      </c>
      <c r="AF43" s="29">
        <f t="shared" si="153"/>
        <v>5252</v>
      </c>
      <c r="AG43" s="29">
        <f t="shared" si="154"/>
        <v>4572</v>
      </c>
      <c r="AH43" s="29">
        <f t="shared" si="151"/>
        <v>9259</v>
      </c>
      <c r="AI43" s="29">
        <f t="shared" si="155"/>
        <v>4178</v>
      </c>
      <c r="AJ43" s="81">
        <f t="shared" si="156"/>
        <v>4262</v>
      </c>
    </row>
    <row r="44" spans="2:46">
      <c r="B44" s="1" t="s">
        <v>102</v>
      </c>
      <c r="C44" s="29"/>
      <c r="D44" s="29"/>
      <c r="E44" s="29"/>
      <c r="F44" s="29">
        <v>0</v>
      </c>
      <c r="G44" s="29">
        <v>0</v>
      </c>
      <c r="H44" s="29">
        <v>0</v>
      </c>
      <c r="I44" s="29">
        <v>0</v>
      </c>
      <c r="J44" s="29">
        <v>0</v>
      </c>
      <c r="K44" s="29"/>
      <c r="L44" s="29"/>
      <c r="M44" s="29"/>
      <c r="N44" s="29">
        <v>583</v>
      </c>
      <c r="O44" s="29">
        <v>598</v>
      </c>
      <c r="P44" s="29">
        <v>536</v>
      </c>
      <c r="Q44" s="29">
        <v>499</v>
      </c>
      <c r="R44" s="29">
        <v>509</v>
      </c>
      <c r="V44" s="29">
        <v>289</v>
      </c>
      <c r="W44" s="29">
        <v>570</v>
      </c>
      <c r="X44" s="29">
        <v>541</v>
      </c>
      <c r="Y44" s="29">
        <v>527</v>
      </c>
      <c r="Z44" s="90">
        <v>513</v>
      </c>
      <c r="AC44" s="29">
        <v>0</v>
      </c>
      <c r="AD44" s="29">
        <v>0</v>
      </c>
      <c r="AE44" s="29">
        <f t="shared" si="152"/>
        <v>0</v>
      </c>
      <c r="AF44" s="29">
        <f t="shared" si="153"/>
        <v>0</v>
      </c>
      <c r="AG44" s="29">
        <f t="shared" si="154"/>
        <v>583</v>
      </c>
      <c r="AH44" s="29">
        <f t="shared" si="151"/>
        <v>1092</v>
      </c>
      <c r="AI44" s="29">
        <f t="shared" si="155"/>
        <v>289</v>
      </c>
      <c r="AJ44" s="81">
        <f t="shared" si="156"/>
        <v>513</v>
      </c>
    </row>
    <row r="45" spans="2:46">
      <c r="B45" s="1" t="s">
        <v>103</v>
      </c>
      <c r="C45" s="29"/>
      <c r="D45" s="29"/>
      <c r="E45" s="29"/>
      <c r="F45" s="29">
        <v>5199</v>
      </c>
      <c r="G45" s="29">
        <v>5166</v>
      </c>
      <c r="H45" s="29">
        <v>5052</v>
      </c>
      <c r="I45" s="29">
        <v>4992</v>
      </c>
      <c r="J45" s="29">
        <v>4792</v>
      </c>
      <c r="K45" s="29"/>
      <c r="L45" s="29"/>
      <c r="M45" s="29"/>
      <c r="N45" s="29">
        <v>3980</v>
      </c>
      <c r="O45" s="29">
        <v>4287</v>
      </c>
      <c r="P45" s="29">
        <v>4203</v>
      </c>
      <c r="Q45" s="29">
        <v>3749</v>
      </c>
      <c r="R45" s="29">
        <v>3537</v>
      </c>
      <c r="V45" s="29">
        <v>3255</v>
      </c>
      <c r="W45" s="29">
        <v>3224</v>
      </c>
      <c r="X45" s="29">
        <v>3227</v>
      </c>
      <c r="Y45" s="29">
        <v>3144</v>
      </c>
      <c r="Z45" s="90">
        <v>3169</v>
      </c>
      <c r="AC45" s="29">
        <v>0</v>
      </c>
      <c r="AD45" s="29">
        <v>4608</v>
      </c>
      <c r="AE45" s="29">
        <f t="shared" si="152"/>
        <v>5199</v>
      </c>
      <c r="AF45" s="29">
        <f t="shared" si="153"/>
        <v>4792</v>
      </c>
      <c r="AG45" s="29">
        <f t="shared" si="154"/>
        <v>3980</v>
      </c>
      <c r="AH45" s="29">
        <f t="shared" si="151"/>
        <v>7517</v>
      </c>
      <c r="AI45" s="29">
        <f t="shared" si="155"/>
        <v>3255</v>
      </c>
      <c r="AJ45" s="81">
        <f t="shared" si="156"/>
        <v>3169</v>
      </c>
    </row>
    <row r="46" spans="2:46">
      <c r="B46" s="1" t="s">
        <v>104</v>
      </c>
      <c r="C46" s="29"/>
      <c r="D46" s="29"/>
      <c r="E46" s="29"/>
      <c r="F46" s="29">
        <v>0</v>
      </c>
      <c r="G46" s="29">
        <v>0</v>
      </c>
      <c r="H46" s="29">
        <v>0</v>
      </c>
      <c r="I46" s="29">
        <v>0</v>
      </c>
      <c r="J46" s="29">
        <v>0</v>
      </c>
      <c r="K46" s="29"/>
      <c r="L46" s="29"/>
      <c r="M46" s="29"/>
      <c r="N46" s="29">
        <v>0</v>
      </c>
      <c r="O46" s="29">
        <v>0</v>
      </c>
      <c r="P46" s="29">
        <v>0</v>
      </c>
      <c r="Q46" s="29">
        <v>0</v>
      </c>
      <c r="R46" s="29">
        <v>0</v>
      </c>
      <c r="V46" s="29">
        <v>5391</v>
      </c>
      <c r="W46" s="29">
        <v>3748</v>
      </c>
      <c r="X46" s="29">
        <v>2919</v>
      </c>
      <c r="Y46" s="29">
        <v>2417</v>
      </c>
      <c r="Z46" s="90">
        <v>0</v>
      </c>
      <c r="AC46" s="29">
        <v>0</v>
      </c>
      <c r="AD46" s="29">
        <v>0</v>
      </c>
      <c r="AE46" s="29">
        <f t="shared" si="152"/>
        <v>0</v>
      </c>
      <c r="AF46" s="29">
        <f t="shared" si="153"/>
        <v>0</v>
      </c>
      <c r="AG46" s="29">
        <f t="shared" si="154"/>
        <v>0</v>
      </c>
      <c r="AH46" s="29">
        <f t="shared" si="151"/>
        <v>0</v>
      </c>
      <c r="AI46" s="29">
        <f t="shared" si="155"/>
        <v>5391</v>
      </c>
      <c r="AJ46" s="81">
        <f t="shared" si="156"/>
        <v>0</v>
      </c>
    </row>
    <row r="47" spans="2:46">
      <c r="B47" s="1" t="s">
        <v>105</v>
      </c>
      <c r="C47" s="29"/>
      <c r="D47" s="29"/>
      <c r="E47" s="29"/>
      <c r="F47" s="29">
        <v>273</v>
      </c>
      <c r="G47" s="29">
        <v>291</v>
      </c>
      <c r="H47" s="29">
        <v>436</v>
      </c>
      <c r="I47" s="29">
        <v>565</v>
      </c>
      <c r="J47" s="29">
        <v>274</v>
      </c>
      <c r="K47" s="29"/>
      <c r="L47" s="29"/>
      <c r="M47" s="29"/>
      <c r="N47" s="29">
        <f>133+306+878+281</f>
        <v>1598</v>
      </c>
      <c r="O47" s="29">
        <v>410</v>
      </c>
      <c r="P47" s="29">
        <v>719</v>
      </c>
      <c r="Q47" s="29">
        <v>914</v>
      </c>
      <c r="R47" s="29">
        <f>1051+145</f>
        <v>1196</v>
      </c>
      <c r="V47" s="29">
        <v>591</v>
      </c>
      <c r="W47" s="29">
        <v>543</v>
      </c>
      <c r="X47" s="29">
        <v>467</v>
      </c>
      <c r="Y47" s="29">
        <v>497</v>
      </c>
      <c r="Z47" s="90">
        <v>581</v>
      </c>
      <c r="AC47" s="29">
        <v>365</v>
      </c>
      <c r="AD47" s="29">
        <v>276</v>
      </c>
      <c r="AE47" s="29">
        <f t="shared" si="152"/>
        <v>273</v>
      </c>
      <c r="AF47" s="29">
        <f t="shared" si="153"/>
        <v>274</v>
      </c>
      <c r="AG47" s="29">
        <f t="shared" si="154"/>
        <v>1598</v>
      </c>
      <c r="AH47" s="29">
        <f t="shared" si="151"/>
        <v>2794</v>
      </c>
      <c r="AI47" s="29">
        <f t="shared" si="155"/>
        <v>591</v>
      </c>
      <c r="AJ47" s="81">
        <f t="shared" si="156"/>
        <v>581</v>
      </c>
    </row>
    <row r="48" spans="2:46">
      <c r="B48" s="1" t="s">
        <v>106</v>
      </c>
      <c r="C48" s="29">
        <f t="shared" ref="C48:D48" si="157">C40+SUM(C41:C47)</f>
        <v>0</v>
      </c>
      <c r="D48" s="29">
        <f t="shared" si="157"/>
        <v>0</v>
      </c>
      <c r="E48" s="29">
        <f t="shared" ref="E48" si="158">E40+SUM(E41:E47)</f>
        <v>0</v>
      </c>
      <c r="F48" s="29">
        <f>F40+SUM(F41:F47)</f>
        <v>25986</v>
      </c>
      <c r="G48" s="29">
        <f t="shared" ref="G48:X48" si="159">G40+SUM(G41:G47)</f>
        <v>24555</v>
      </c>
      <c r="H48" s="29">
        <f t="shared" si="159"/>
        <v>23988</v>
      </c>
      <c r="I48" s="29">
        <f t="shared" si="159"/>
        <v>23652</v>
      </c>
      <c r="J48" s="29">
        <f t="shared" si="159"/>
        <v>22819</v>
      </c>
      <c r="K48" s="29">
        <f t="shared" si="159"/>
        <v>0</v>
      </c>
      <c r="L48" s="29">
        <f t="shared" si="159"/>
        <v>0</v>
      </c>
      <c r="M48" s="29">
        <f t="shared" si="159"/>
        <v>0</v>
      </c>
      <c r="N48" s="29">
        <f t="shared" si="159"/>
        <v>18174</v>
      </c>
      <c r="O48" s="29">
        <f t="shared" si="159"/>
        <v>18929</v>
      </c>
      <c r="P48" s="29">
        <f t="shared" si="159"/>
        <v>20014</v>
      </c>
      <c r="Q48" s="29">
        <f t="shared" si="159"/>
        <v>18241</v>
      </c>
      <c r="R48" s="29">
        <f t="shared" si="159"/>
        <v>19310</v>
      </c>
      <c r="S48" s="29">
        <f t="shared" si="159"/>
        <v>0</v>
      </c>
      <c r="T48" s="29">
        <f t="shared" si="159"/>
        <v>0</v>
      </c>
      <c r="U48" s="29">
        <f t="shared" si="159"/>
        <v>0</v>
      </c>
      <c r="V48" s="29">
        <f t="shared" si="159"/>
        <v>26626</v>
      </c>
      <c r="W48" s="29">
        <f t="shared" si="159"/>
        <v>22980</v>
      </c>
      <c r="X48" s="29">
        <f t="shared" si="159"/>
        <v>19653</v>
      </c>
      <c r="Y48" s="29">
        <f>Y40+SUM(Y41:Y47)</f>
        <v>19097</v>
      </c>
      <c r="Z48" s="29">
        <f>Z40+SUM(Z41:Z47)</f>
        <v>20850</v>
      </c>
      <c r="AC48" s="29">
        <f t="shared" ref="AC48:AD48" si="160">AC40+SUM(AC41:AC47)</f>
        <v>17755</v>
      </c>
      <c r="AD48" s="29">
        <f t="shared" si="160"/>
        <v>23847</v>
      </c>
      <c r="AE48" s="29">
        <f t="shared" ref="AE48" si="161">AE40+SUM(AE41:AE47)</f>
        <v>25986</v>
      </c>
      <c r="AF48" s="29">
        <f t="shared" ref="AF48" si="162">AF40+SUM(AF41:AF47)</f>
        <v>22819</v>
      </c>
      <c r="AG48" s="29">
        <f t="shared" ref="AG48" si="163">AG40+SUM(AG41:AG47)</f>
        <v>18174</v>
      </c>
      <c r="AH48" s="29">
        <f t="shared" ref="AH48" si="164">AH40+SUM(AH41:AH47)</f>
        <v>34733</v>
      </c>
      <c r="AI48" s="29">
        <f t="shared" ref="AI48:AJ48" si="165">AI40+SUM(AI41:AI47)</f>
        <v>26626</v>
      </c>
      <c r="AJ48" s="29">
        <f t="shared" si="165"/>
        <v>20850</v>
      </c>
    </row>
    <row r="49" spans="2:46"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V49" s="29"/>
      <c r="W49" s="29"/>
      <c r="X49" s="29"/>
      <c r="Y49" s="29"/>
      <c r="AC49" s="29"/>
      <c r="AD49" s="29"/>
      <c r="AI49" s="29"/>
    </row>
    <row r="50" spans="2:46" s="2" customFormat="1">
      <c r="B50" s="2" t="s">
        <v>107</v>
      </c>
      <c r="C50" s="28"/>
      <c r="D50" s="28"/>
      <c r="E50" s="28"/>
      <c r="F50" s="28">
        <v>781</v>
      </c>
      <c r="G50" s="28">
        <v>20</v>
      </c>
      <c r="H50" s="28">
        <v>3</v>
      </c>
      <c r="I50" s="28">
        <v>1546</v>
      </c>
      <c r="J50" s="28">
        <v>1546</v>
      </c>
      <c r="K50" s="28"/>
      <c r="L50" s="28"/>
      <c r="M50" s="28"/>
      <c r="N50" s="28">
        <v>1020</v>
      </c>
      <c r="O50" s="28">
        <v>1015</v>
      </c>
      <c r="P50" s="28">
        <v>516</v>
      </c>
      <c r="Q50" s="28">
        <v>17</v>
      </c>
      <c r="R50" s="28">
        <v>18</v>
      </c>
      <c r="V50" s="28">
        <v>1355</v>
      </c>
      <c r="W50" s="28">
        <v>1755</v>
      </c>
      <c r="X50" s="28">
        <v>1149</v>
      </c>
      <c r="Y50" s="28">
        <v>1150</v>
      </c>
      <c r="Z50" s="89">
        <v>1150</v>
      </c>
      <c r="AC50" s="28">
        <v>0</v>
      </c>
      <c r="AD50" s="28">
        <v>1451</v>
      </c>
      <c r="AE50" s="28">
        <f>F50</f>
        <v>781</v>
      </c>
      <c r="AF50" s="28">
        <f>J50</f>
        <v>1546</v>
      </c>
      <c r="AG50" s="28">
        <f>N50</f>
        <v>1020</v>
      </c>
      <c r="AH50" s="28">
        <f>R50</f>
        <v>18</v>
      </c>
      <c r="AI50" s="28">
        <f>V50</f>
        <v>1355</v>
      </c>
      <c r="AJ50" s="80">
        <f>Z50</f>
        <v>1150</v>
      </c>
      <c r="AK50" s="43"/>
      <c r="AL50" s="64"/>
      <c r="AM50" s="64"/>
      <c r="AN50" s="64"/>
      <c r="AO50" s="64"/>
      <c r="AP50" s="64"/>
      <c r="AQ50" s="64"/>
      <c r="AR50" s="64"/>
      <c r="AS50" s="64"/>
      <c r="AT50" s="64"/>
    </row>
    <row r="51" spans="2:46">
      <c r="B51" s="1" t="s">
        <v>108</v>
      </c>
      <c r="C51" s="29"/>
      <c r="D51" s="29"/>
      <c r="E51" s="29"/>
      <c r="F51" s="29">
        <v>330</v>
      </c>
      <c r="G51" s="29">
        <v>252</v>
      </c>
      <c r="H51" s="29">
        <v>253</v>
      </c>
      <c r="I51" s="29">
        <v>225</v>
      </c>
      <c r="J51" s="29">
        <v>286</v>
      </c>
      <c r="K51" s="29"/>
      <c r="L51" s="29"/>
      <c r="M51" s="29"/>
      <c r="N51" s="29">
        <v>229</v>
      </c>
      <c r="O51" s="29">
        <v>268</v>
      </c>
      <c r="P51" s="29">
        <v>305</v>
      </c>
      <c r="Q51" s="29">
        <v>307</v>
      </c>
      <c r="R51" s="29">
        <v>332</v>
      </c>
      <c r="V51" s="29">
        <v>262</v>
      </c>
      <c r="W51" s="29">
        <v>245</v>
      </c>
      <c r="X51" s="29">
        <v>249</v>
      </c>
      <c r="Y51" s="29">
        <v>224</v>
      </c>
      <c r="Z51" s="90">
        <v>261</v>
      </c>
      <c r="AC51" s="29">
        <v>349</v>
      </c>
      <c r="AD51" s="29">
        <v>283</v>
      </c>
      <c r="AE51" s="29">
        <f t="shared" ref="AE51:AE61" si="166">F51</f>
        <v>330</v>
      </c>
      <c r="AF51" s="29">
        <f t="shared" ref="AF51:AF61" si="167">J51</f>
        <v>286</v>
      </c>
      <c r="AG51" s="29">
        <f t="shared" ref="AG51:AG61" si="168">N51</f>
        <v>229</v>
      </c>
      <c r="AH51" s="29">
        <f t="shared" ref="AH51:AH56" si="169">AG51+R51</f>
        <v>561</v>
      </c>
      <c r="AI51" s="29">
        <f t="shared" si="155"/>
        <v>262</v>
      </c>
      <c r="AJ51" s="81">
        <f t="shared" ref="AJ51:AJ56" si="170">Z51</f>
        <v>261</v>
      </c>
    </row>
    <row r="52" spans="2:46">
      <c r="B52" s="1" t="s">
        <v>109</v>
      </c>
      <c r="C52" s="29"/>
      <c r="D52" s="29"/>
      <c r="E52" s="29"/>
      <c r="F52" s="29">
        <v>137</v>
      </c>
      <c r="G52" s="29">
        <v>1918</v>
      </c>
      <c r="H52" s="29">
        <v>151</v>
      </c>
      <c r="I52" s="1">
        <v>163</v>
      </c>
      <c r="J52" s="29">
        <v>170</v>
      </c>
      <c r="K52" s="29"/>
      <c r="L52" s="29"/>
      <c r="M52" s="29"/>
      <c r="N52" s="29">
        <v>2097</v>
      </c>
      <c r="O52" s="29">
        <v>2175</v>
      </c>
      <c r="P52" s="29">
        <v>2440</v>
      </c>
      <c r="Q52" s="1">
        <v>105</v>
      </c>
      <c r="R52" s="29">
        <v>2910</v>
      </c>
      <c r="V52" s="29">
        <v>707</v>
      </c>
      <c r="W52" s="29">
        <v>652</v>
      </c>
      <c r="X52" s="29">
        <v>604</v>
      </c>
      <c r="Y52" s="29">
        <v>649</v>
      </c>
      <c r="Z52" s="90">
        <v>768</v>
      </c>
      <c r="AC52" s="29">
        <v>106</v>
      </c>
      <c r="AD52" s="29">
        <v>110</v>
      </c>
      <c r="AE52" s="29">
        <f t="shared" si="166"/>
        <v>137</v>
      </c>
      <c r="AF52" s="29">
        <f t="shared" si="167"/>
        <v>170</v>
      </c>
      <c r="AG52" s="29">
        <f t="shared" si="168"/>
        <v>2097</v>
      </c>
      <c r="AH52" s="29">
        <f t="shared" si="169"/>
        <v>5007</v>
      </c>
      <c r="AI52" s="29">
        <f t="shared" si="155"/>
        <v>707</v>
      </c>
      <c r="AJ52" s="81">
        <f t="shared" si="170"/>
        <v>768</v>
      </c>
    </row>
    <row r="53" spans="2:46">
      <c r="B53" s="1" t="s">
        <v>110</v>
      </c>
      <c r="C53" s="29"/>
      <c r="D53" s="29"/>
      <c r="E53" s="29"/>
      <c r="F53" s="29">
        <v>2134</v>
      </c>
      <c r="G53" s="29">
        <v>142</v>
      </c>
      <c r="H53" s="29">
        <v>2117</v>
      </c>
      <c r="I53" s="29">
        <v>1989</v>
      </c>
      <c r="J53" s="29">
        <v>2335</v>
      </c>
      <c r="K53" s="29"/>
      <c r="L53" s="29"/>
      <c r="M53" s="29"/>
      <c r="N53" s="29">
        <v>129</v>
      </c>
      <c r="O53" s="29">
        <v>108</v>
      </c>
      <c r="P53" s="29">
        <v>103</v>
      </c>
      <c r="Q53" s="29">
        <v>2536</v>
      </c>
      <c r="R53" s="29">
        <v>110</v>
      </c>
      <c r="V53" s="29">
        <v>1927</v>
      </c>
      <c r="W53" s="29">
        <v>1851</v>
      </c>
      <c r="X53" s="29">
        <v>1735</v>
      </c>
      <c r="Y53" s="29">
        <v>1765</v>
      </c>
      <c r="Z53" s="90">
        <v>1866</v>
      </c>
      <c r="AC53" s="29">
        <v>1736</v>
      </c>
      <c r="AD53" s="29">
        <v>1893</v>
      </c>
      <c r="AE53" s="29">
        <f t="shared" si="166"/>
        <v>2134</v>
      </c>
      <c r="AF53" s="29">
        <f t="shared" si="167"/>
        <v>2335</v>
      </c>
      <c r="AG53" s="29">
        <f t="shared" si="168"/>
        <v>129</v>
      </c>
      <c r="AH53" s="29">
        <f t="shared" si="169"/>
        <v>239</v>
      </c>
      <c r="AI53" s="29">
        <f t="shared" si="155"/>
        <v>1927</v>
      </c>
      <c r="AJ53" s="81">
        <f t="shared" si="170"/>
        <v>1866</v>
      </c>
    </row>
    <row r="54" spans="2:46">
      <c r="B54" s="1" t="s">
        <v>111</v>
      </c>
      <c r="C54" s="29"/>
      <c r="D54" s="29"/>
      <c r="E54" s="29"/>
      <c r="F54" s="29">
        <v>177</v>
      </c>
      <c r="G54" s="29">
        <v>236</v>
      </c>
      <c r="H54" s="29">
        <v>84</v>
      </c>
      <c r="I54" s="29">
        <v>83</v>
      </c>
      <c r="J54" s="29">
        <v>117</v>
      </c>
      <c r="K54" s="29"/>
      <c r="L54" s="29"/>
      <c r="M54" s="29"/>
      <c r="N54" s="29">
        <v>169</v>
      </c>
      <c r="O54" s="29">
        <v>1107</v>
      </c>
      <c r="P54" s="29">
        <v>1328</v>
      </c>
      <c r="Q54" s="29">
        <v>379</v>
      </c>
      <c r="R54" s="29">
        <v>180</v>
      </c>
      <c r="V54" s="29">
        <v>371</v>
      </c>
      <c r="W54" s="29">
        <v>479</v>
      </c>
      <c r="X54" s="29">
        <v>235</v>
      </c>
      <c r="Y54" s="29">
        <v>186</v>
      </c>
      <c r="Z54" s="90">
        <v>226</v>
      </c>
      <c r="AC54" s="29">
        <v>72</v>
      </c>
      <c r="AD54" s="29">
        <v>110</v>
      </c>
      <c r="AE54" s="29">
        <f t="shared" si="166"/>
        <v>177</v>
      </c>
      <c r="AF54" s="29">
        <f t="shared" si="167"/>
        <v>117</v>
      </c>
      <c r="AG54" s="29">
        <f t="shared" si="168"/>
        <v>169</v>
      </c>
      <c r="AH54" s="29">
        <f t="shared" si="169"/>
        <v>349</v>
      </c>
      <c r="AI54" s="29">
        <f t="shared" si="155"/>
        <v>371</v>
      </c>
      <c r="AJ54" s="81">
        <f t="shared" si="170"/>
        <v>226</v>
      </c>
    </row>
    <row r="55" spans="2:46">
      <c r="B55" s="1" t="s">
        <v>124</v>
      </c>
      <c r="C55" s="29"/>
      <c r="D55" s="29"/>
      <c r="E55" s="29"/>
      <c r="F55" s="29">
        <v>0</v>
      </c>
      <c r="G55" s="29">
        <v>0</v>
      </c>
      <c r="H55" s="29">
        <v>0</v>
      </c>
      <c r="I55" s="29">
        <v>0</v>
      </c>
      <c r="J55" s="29">
        <v>0</v>
      </c>
      <c r="K55" s="29"/>
      <c r="L55" s="29"/>
      <c r="M55" s="29"/>
      <c r="N55" s="29">
        <v>259</v>
      </c>
      <c r="O55" s="29">
        <v>0</v>
      </c>
      <c r="P55" s="29">
        <v>0</v>
      </c>
      <c r="Q55" s="29">
        <v>0</v>
      </c>
      <c r="R55" s="29">
        <v>0</v>
      </c>
      <c r="V55" s="29">
        <v>0</v>
      </c>
      <c r="W55" s="29">
        <v>0</v>
      </c>
      <c r="X55" s="29">
        <v>0</v>
      </c>
      <c r="Y55" s="29">
        <v>0</v>
      </c>
      <c r="Z55" s="90">
        <v>0</v>
      </c>
      <c r="AC55" s="29">
        <v>0</v>
      </c>
      <c r="AD55" s="29">
        <v>0</v>
      </c>
      <c r="AE55" s="29">
        <f t="shared" si="166"/>
        <v>0</v>
      </c>
      <c r="AF55" s="29">
        <f t="shared" si="167"/>
        <v>0</v>
      </c>
      <c r="AG55" s="29">
        <f t="shared" si="168"/>
        <v>259</v>
      </c>
      <c r="AH55" s="29">
        <f t="shared" si="169"/>
        <v>259</v>
      </c>
      <c r="AI55" s="29">
        <v>0</v>
      </c>
      <c r="AJ55" s="81">
        <f t="shared" si="170"/>
        <v>0</v>
      </c>
    </row>
    <row r="56" spans="2:46">
      <c r="B56" s="1" t="s">
        <v>125</v>
      </c>
      <c r="C56" s="29"/>
      <c r="D56" s="29"/>
      <c r="E56" s="29"/>
      <c r="F56" s="29">
        <v>0</v>
      </c>
      <c r="G56" s="29">
        <v>0</v>
      </c>
      <c r="H56" s="29">
        <v>0</v>
      </c>
      <c r="I56" s="29">
        <v>0</v>
      </c>
      <c r="J56" s="29">
        <v>0</v>
      </c>
      <c r="K56" s="29"/>
      <c r="L56" s="29"/>
      <c r="M56" s="29"/>
      <c r="N56" s="29">
        <v>163</v>
      </c>
      <c r="O56" s="29">
        <v>0</v>
      </c>
      <c r="P56" s="29">
        <v>0</v>
      </c>
      <c r="Q56" s="29">
        <v>496</v>
      </c>
      <c r="R56" s="29">
        <v>452</v>
      </c>
      <c r="V56" s="29">
        <v>0</v>
      </c>
      <c r="W56" s="29">
        <v>0</v>
      </c>
      <c r="X56" s="29">
        <v>0</v>
      </c>
      <c r="Y56" s="29">
        <v>0</v>
      </c>
      <c r="Z56" s="90">
        <v>0</v>
      </c>
      <c r="AC56" s="29">
        <v>0</v>
      </c>
      <c r="AD56" s="29">
        <v>0</v>
      </c>
      <c r="AE56" s="29">
        <f t="shared" si="166"/>
        <v>0</v>
      </c>
      <c r="AF56" s="29">
        <f t="shared" si="167"/>
        <v>0</v>
      </c>
      <c r="AG56" s="29">
        <f t="shared" si="168"/>
        <v>163</v>
      </c>
      <c r="AH56" s="29">
        <f t="shared" si="169"/>
        <v>615</v>
      </c>
      <c r="AI56" s="29">
        <v>0</v>
      </c>
      <c r="AJ56" s="81">
        <f t="shared" si="170"/>
        <v>0</v>
      </c>
    </row>
    <row r="57" spans="2:46">
      <c r="B57" s="1" t="s">
        <v>112</v>
      </c>
      <c r="C57" s="29">
        <f t="shared" ref="C57:D57" si="171">SUM(C50:C56)</f>
        <v>0</v>
      </c>
      <c r="D57" s="29">
        <f t="shared" si="171"/>
        <v>0</v>
      </c>
      <c r="E57" s="29">
        <f t="shared" ref="E57" si="172">SUM(E50:E56)</f>
        <v>0</v>
      </c>
      <c r="F57" s="29">
        <f>SUM(F50:F56)</f>
        <v>3559</v>
      </c>
      <c r="G57" s="29">
        <f>SUM(G50:G56)</f>
        <v>2568</v>
      </c>
      <c r="H57" s="29">
        <f t="shared" ref="H57:Z57" si="173">SUM(H50:H56)</f>
        <v>2608</v>
      </c>
      <c r="I57" s="29">
        <f t="shared" si="173"/>
        <v>4006</v>
      </c>
      <c r="J57" s="29">
        <f t="shared" si="173"/>
        <v>4454</v>
      </c>
      <c r="K57" s="29">
        <f t="shared" si="173"/>
        <v>0</v>
      </c>
      <c r="L57" s="29">
        <f t="shared" si="173"/>
        <v>0</v>
      </c>
      <c r="M57" s="29">
        <f t="shared" si="173"/>
        <v>0</v>
      </c>
      <c r="N57" s="29">
        <f t="shared" si="173"/>
        <v>4066</v>
      </c>
      <c r="O57" s="29">
        <f t="shared" si="173"/>
        <v>4673</v>
      </c>
      <c r="P57" s="29">
        <f t="shared" si="173"/>
        <v>4692</v>
      </c>
      <c r="Q57" s="29">
        <f t="shared" si="173"/>
        <v>3840</v>
      </c>
      <c r="R57" s="29">
        <f t="shared" si="173"/>
        <v>4002</v>
      </c>
      <c r="S57" s="29">
        <f t="shared" si="173"/>
        <v>0</v>
      </c>
      <c r="T57" s="29">
        <f t="shared" si="173"/>
        <v>0</v>
      </c>
      <c r="U57" s="29">
        <f t="shared" si="173"/>
        <v>0</v>
      </c>
      <c r="V57" s="29">
        <f t="shared" si="173"/>
        <v>4622</v>
      </c>
      <c r="W57" s="29">
        <f t="shared" si="173"/>
        <v>4982</v>
      </c>
      <c r="X57" s="29">
        <f t="shared" si="173"/>
        <v>3972</v>
      </c>
      <c r="Y57" s="29">
        <f t="shared" si="173"/>
        <v>3974</v>
      </c>
      <c r="Z57" s="29">
        <f t="shared" si="173"/>
        <v>4271</v>
      </c>
      <c r="AC57" s="29">
        <f t="shared" ref="AC57:AD57" si="174">SUM(AC50:AC56)</f>
        <v>2263</v>
      </c>
      <c r="AD57" s="29">
        <f t="shared" si="174"/>
        <v>3847</v>
      </c>
      <c r="AE57" s="29">
        <f t="shared" ref="AE57" si="175">SUM(AE50:AE56)</f>
        <v>3559</v>
      </c>
      <c r="AF57" s="29">
        <f t="shared" ref="AF57" si="176">SUM(AF50:AF56)</f>
        <v>4454</v>
      </c>
      <c r="AG57" s="29">
        <f t="shared" ref="AG57" si="177">SUM(AG50:AG56)</f>
        <v>4066</v>
      </c>
      <c r="AH57" s="29">
        <f t="shared" ref="AH57" si="178">SUM(AH50:AH56)</f>
        <v>7048</v>
      </c>
      <c r="AI57" s="29">
        <f t="shared" ref="AI57:AJ57" si="179">SUM(AI50:AI56)</f>
        <v>4622</v>
      </c>
      <c r="AJ57" s="29">
        <f t="shared" si="179"/>
        <v>4271</v>
      </c>
    </row>
    <row r="58" spans="2:46">
      <c r="B58" s="1" t="s">
        <v>113</v>
      </c>
      <c r="C58" s="29"/>
      <c r="D58" s="29"/>
      <c r="E58" s="29"/>
      <c r="F58" s="1">
        <v>0</v>
      </c>
      <c r="G58" s="29">
        <v>0</v>
      </c>
      <c r="H58" s="29">
        <v>0</v>
      </c>
      <c r="I58" s="29">
        <v>0</v>
      </c>
      <c r="J58" s="29">
        <v>0</v>
      </c>
      <c r="K58" s="29"/>
      <c r="L58" s="29"/>
      <c r="M58" s="29"/>
      <c r="N58" s="29">
        <v>461</v>
      </c>
      <c r="O58" s="29">
        <v>456</v>
      </c>
      <c r="P58" s="29">
        <v>411</v>
      </c>
      <c r="Q58" s="29">
        <v>379</v>
      </c>
      <c r="R58" s="29">
        <v>380</v>
      </c>
      <c r="V58" s="29">
        <v>200</v>
      </c>
      <c r="W58" s="29">
        <v>481</v>
      </c>
      <c r="X58" s="29">
        <v>448</v>
      </c>
      <c r="Y58" s="29">
        <v>432</v>
      </c>
      <c r="Z58" s="90">
        <v>418</v>
      </c>
      <c r="AC58" s="29">
        <v>0</v>
      </c>
      <c r="AD58" s="29">
        <v>0</v>
      </c>
      <c r="AE58" s="29">
        <f t="shared" si="166"/>
        <v>0</v>
      </c>
      <c r="AF58" s="29">
        <f t="shared" si="167"/>
        <v>0</v>
      </c>
      <c r="AG58" s="29">
        <f t="shared" si="168"/>
        <v>461</v>
      </c>
      <c r="AH58" s="29">
        <f>AG58+R58</f>
        <v>841</v>
      </c>
      <c r="AI58" s="29">
        <f t="shared" si="155"/>
        <v>200</v>
      </c>
      <c r="AJ58" s="81">
        <f t="shared" ref="AJ58:AJ59" si="180">Z58</f>
        <v>418</v>
      </c>
    </row>
    <row r="59" spans="2:46">
      <c r="B59" s="1" t="s">
        <v>114</v>
      </c>
      <c r="C59" s="29"/>
      <c r="D59" s="29"/>
      <c r="E59" s="29"/>
      <c r="F59" s="29">
        <v>3424</v>
      </c>
      <c r="G59" s="29">
        <v>3314</v>
      </c>
      <c r="H59" s="29">
        <v>3290</v>
      </c>
      <c r="I59" s="29">
        <v>3316</v>
      </c>
      <c r="J59" s="29">
        <v>2925</v>
      </c>
      <c r="K59" s="29"/>
      <c r="L59" s="29"/>
      <c r="M59" s="29"/>
      <c r="N59" s="29">
        <v>2355</v>
      </c>
      <c r="O59" s="29">
        <v>2619</v>
      </c>
      <c r="P59" s="29">
        <v>2584</v>
      </c>
      <c r="Q59" s="29">
        <v>2280</v>
      </c>
      <c r="R59" s="29">
        <v>2359</v>
      </c>
      <c r="V59" s="29">
        <v>3116</v>
      </c>
      <c r="W59" s="29">
        <v>2701</v>
      </c>
      <c r="X59" s="29">
        <v>2400</v>
      </c>
      <c r="Y59" s="29">
        <v>2231</v>
      </c>
      <c r="Z59" s="90">
        <v>2245</v>
      </c>
      <c r="AC59" s="29">
        <v>2092</v>
      </c>
      <c r="AD59" s="29">
        <v>1888</v>
      </c>
      <c r="AE59" s="29">
        <f t="shared" si="166"/>
        <v>3424</v>
      </c>
      <c r="AF59" s="29">
        <f t="shared" si="167"/>
        <v>2925</v>
      </c>
      <c r="AG59" s="29">
        <f t="shared" si="168"/>
        <v>2355</v>
      </c>
      <c r="AH59" s="29">
        <f>AG59+R59</f>
        <v>4714</v>
      </c>
      <c r="AI59" s="29">
        <f t="shared" si="155"/>
        <v>3116</v>
      </c>
      <c r="AJ59" s="81">
        <f t="shared" si="180"/>
        <v>2245</v>
      </c>
    </row>
    <row r="60" spans="2:46" s="2" customFormat="1">
      <c r="B60" s="2" t="s">
        <v>115</v>
      </c>
      <c r="C60" s="28"/>
      <c r="D60" s="28"/>
      <c r="E60" s="28"/>
      <c r="F60" s="29">
        <v>9234</v>
      </c>
      <c r="G60" s="28">
        <v>9208</v>
      </c>
      <c r="H60" s="28">
        <v>9201</v>
      </c>
      <c r="I60" s="28">
        <v>7661</v>
      </c>
      <c r="J60" s="28">
        <v>7685</v>
      </c>
      <c r="K60" s="28"/>
      <c r="L60" s="28"/>
      <c r="M60" s="28"/>
      <c r="N60" s="28">
        <v>6738</v>
      </c>
      <c r="O60" s="28">
        <v>7724</v>
      </c>
      <c r="P60" s="28">
        <v>8161</v>
      </c>
      <c r="Q60" s="28">
        <v>7738</v>
      </c>
      <c r="R60" s="28">
        <v>7745</v>
      </c>
      <c r="V60" s="28">
        <v>7727</v>
      </c>
      <c r="W60" s="28">
        <v>6578</v>
      </c>
      <c r="X60" s="28">
        <v>6579</v>
      </c>
      <c r="Y60" s="28">
        <v>6579</v>
      </c>
      <c r="Z60" s="89">
        <v>7721</v>
      </c>
      <c r="AC60" s="28">
        <v>6749</v>
      </c>
      <c r="AD60" s="28">
        <v>7509</v>
      </c>
      <c r="AE60" s="28">
        <f>F60</f>
        <v>9234</v>
      </c>
      <c r="AF60" s="28">
        <f>J60</f>
        <v>7685</v>
      </c>
      <c r="AG60" s="28">
        <f>N60</f>
        <v>6738</v>
      </c>
      <c r="AH60" s="28">
        <f>R60</f>
        <v>7745</v>
      </c>
      <c r="AI60" s="28">
        <f>V60</f>
        <v>7727</v>
      </c>
      <c r="AJ60" s="80">
        <f>Z60</f>
        <v>7721</v>
      </c>
      <c r="AK60" s="43"/>
      <c r="AL60" s="64"/>
      <c r="AM60" s="64"/>
      <c r="AN60" s="64"/>
      <c r="AO60" s="64"/>
      <c r="AP60" s="64"/>
      <c r="AQ60" s="64"/>
      <c r="AR60" s="64"/>
      <c r="AS60" s="64"/>
      <c r="AT60" s="64"/>
    </row>
    <row r="61" spans="2:46">
      <c r="B61" s="1" t="s">
        <v>116</v>
      </c>
      <c r="C61" s="29"/>
      <c r="D61" s="29"/>
      <c r="E61" s="29"/>
      <c r="F61" s="29">
        <v>1720</v>
      </c>
      <c r="G61" s="29">
        <v>1869</v>
      </c>
      <c r="H61" s="29">
        <v>1743</v>
      </c>
      <c r="I61" s="29">
        <v>1740</v>
      </c>
      <c r="J61" s="29">
        <v>1474</v>
      </c>
      <c r="K61" s="29"/>
      <c r="L61" s="29"/>
      <c r="M61" s="29"/>
      <c r="N61" s="29">
        <f>26+305+1353</f>
        <v>1684</v>
      </c>
      <c r="O61" s="29">
        <v>1342</v>
      </c>
      <c r="P61" s="29">
        <v>1264</v>
      </c>
      <c r="Q61" s="29">
        <v>1264</v>
      </c>
      <c r="R61" s="29">
        <v>1263</v>
      </c>
      <c r="V61" s="29">
        <v>1183</v>
      </c>
      <c r="W61" s="29">
        <v>1184</v>
      </c>
      <c r="X61" s="29">
        <v>1011</v>
      </c>
      <c r="Y61" s="29">
        <v>1028</v>
      </c>
      <c r="Z61" s="90">
        <v>1042</v>
      </c>
      <c r="AC61" s="29">
        <v>75</v>
      </c>
      <c r="AD61" s="29">
        <v>64</v>
      </c>
      <c r="AE61" s="29">
        <f t="shared" si="166"/>
        <v>1720</v>
      </c>
      <c r="AF61" s="29">
        <f t="shared" si="167"/>
        <v>1474</v>
      </c>
      <c r="AG61" s="29">
        <f t="shared" si="168"/>
        <v>1684</v>
      </c>
      <c r="AH61" s="29">
        <f>AG61+R61</f>
        <v>2947</v>
      </c>
      <c r="AI61" s="29">
        <f t="shared" si="155"/>
        <v>1183</v>
      </c>
      <c r="AJ61" s="81">
        <f>Z61</f>
        <v>1042</v>
      </c>
    </row>
    <row r="62" spans="2:46">
      <c r="B62" s="1" t="s">
        <v>117</v>
      </c>
      <c r="C62" s="29">
        <f t="shared" ref="C62:D62" si="181">C57+SUM(C58:C61)</f>
        <v>0</v>
      </c>
      <c r="D62" s="29">
        <f t="shared" si="181"/>
        <v>0</v>
      </c>
      <c r="E62" s="29">
        <f t="shared" ref="E62" si="182">E57+SUM(E58:E61)</f>
        <v>0</v>
      </c>
      <c r="F62" s="29">
        <f>F57+SUM(F58:F61)</f>
        <v>17937</v>
      </c>
      <c r="G62" s="29">
        <f t="shared" ref="G62:X62" si="183">G57+SUM(G58:G61)</f>
        <v>16959</v>
      </c>
      <c r="H62" s="29">
        <f t="shared" si="183"/>
        <v>16842</v>
      </c>
      <c r="I62" s="29">
        <f t="shared" si="183"/>
        <v>16723</v>
      </c>
      <c r="J62" s="29">
        <f t="shared" si="183"/>
        <v>16538</v>
      </c>
      <c r="K62" s="29">
        <f t="shared" si="183"/>
        <v>0</v>
      </c>
      <c r="L62" s="29">
        <f t="shared" si="183"/>
        <v>0</v>
      </c>
      <c r="M62" s="29">
        <f t="shared" si="183"/>
        <v>0</v>
      </c>
      <c r="N62" s="29">
        <f t="shared" si="183"/>
        <v>15304</v>
      </c>
      <c r="O62" s="29">
        <f t="shared" si="183"/>
        <v>16814</v>
      </c>
      <c r="P62" s="29">
        <f t="shared" si="183"/>
        <v>17112</v>
      </c>
      <c r="Q62" s="29">
        <f t="shared" si="183"/>
        <v>15501</v>
      </c>
      <c r="R62" s="29">
        <f t="shared" si="183"/>
        <v>15749</v>
      </c>
      <c r="S62" s="29">
        <f t="shared" si="183"/>
        <v>0</v>
      </c>
      <c r="T62" s="29">
        <f t="shared" si="183"/>
        <v>0</v>
      </c>
      <c r="U62" s="29">
        <f t="shared" si="183"/>
        <v>0</v>
      </c>
      <c r="V62" s="29">
        <f t="shared" si="183"/>
        <v>16848</v>
      </c>
      <c r="W62" s="29">
        <f t="shared" si="183"/>
        <v>15926</v>
      </c>
      <c r="X62" s="29">
        <f t="shared" si="183"/>
        <v>14410</v>
      </c>
      <c r="Y62" s="29">
        <f>Y57+SUM(Y58:Y61)</f>
        <v>14244</v>
      </c>
      <c r="Z62" s="29">
        <f>Z57+SUM(Z58:Z61)</f>
        <v>15697</v>
      </c>
      <c r="AC62" s="29">
        <f t="shared" ref="AC62:AD62" si="184">AC57+SUM(AC58:AC61)</f>
        <v>11179</v>
      </c>
      <c r="AD62" s="29">
        <f t="shared" si="184"/>
        <v>13308</v>
      </c>
      <c r="AE62" s="29">
        <f t="shared" ref="AE62" si="185">AE57+SUM(AE58:AE61)</f>
        <v>17937</v>
      </c>
      <c r="AF62" s="29">
        <f t="shared" ref="AF62" si="186">AF57+SUM(AF58:AF61)</f>
        <v>16538</v>
      </c>
      <c r="AG62" s="29">
        <f t="shared" ref="AG62" si="187">AG57+SUM(AG58:AG61)</f>
        <v>15304</v>
      </c>
      <c r="AH62" s="29">
        <f t="shared" ref="AH62" si="188">AH57+SUM(AH58:AH61)</f>
        <v>23295</v>
      </c>
      <c r="AI62" s="29">
        <f t="shared" ref="AI62:AJ62" si="189">AI57+SUM(AI58:AI61)</f>
        <v>16848</v>
      </c>
      <c r="AJ62" s="29">
        <f t="shared" si="189"/>
        <v>15697</v>
      </c>
    </row>
    <row r="63" spans="2:46">
      <c r="V63" s="29"/>
      <c r="W63" s="29"/>
      <c r="X63" s="29"/>
      <c r="Y63" s="29"/>
      <c r="AC63" s="29"/>
      <c r="AD63" s="29"/>
    </row>
    <row r="64" spans="2:46" s="29" customFormat="1">
      <c r="B64" s="29" t="s">
        <v>118</v>
      </c>
      <c r="F64" s="29">
        <v>8049</v>
      </c>
      <c r="G64" s="29">
        <v>7596</v>
      </c>
      <c r="H64" s="29">
        <v>7146</v>
      </c>
      <c r="I64" s="29">
        <v>6929</v>
      </c>
      <c r="J64" s="29">
        <v>6281</v>
      </c>
      <c r="M64" s="29">
        <v>2870</v>
      </c>
      <c r="N64" s="29">
        <v>2870</v>
      </c>
      <c r="O64" s="29">
        <v>2115</v>
      </c>
      <c r="P64" s="29">
        <v>2902</v>
      </c>
      <c r="Q64" s="29">
        <v>2920</v>
      </c>
      <c r="R64" s="29">
        <v>3561</v>
      </c>
      <c r="V64" s="29">
        <v>9778</v>
      </c>
      <c r="W64" s="29">
        <v>7054</v>
      </c>
      <c r="X64" s="29">
        <v>5243</v>
      </c>
      <c r="Y64" s="29">
        <v>4853</v>
      </c>
      <c r="Z64" s="90">
        <v>5153</v>
      </c>
      <c r="AC64" s="29">
        <v>6576</v>
      </c>
      <c r="AD64" s="29">
        <v>10539</v>
      </c>
      <c r="AE64" s="29">
        <f t="shared" ref="AE64" si="190">F64</f>
        <v>8049</v>
      </c>
      <c r="AF64" s="29">
        <f t="shared" ref="AF64" si="191">J64</f>
        <v>6281</v>
      </c>
      <c r="AG64" s="29">
        <f>N64</f>
        <v>2870</v>
      </c>
      <c r="AH64" s="29">
        <f t="shared" ref="AH64" si="192">AG64+R64</f>
        <v>6431</v>
      </c>
      <c r="AI64" s="29">
        <f>V64</f>
        <v>9778</v>
      </c>
      <c r="AJ64" s="81">
        <f>Z64</f>
        <v>5153</v>
      </c>
      <c r="AK64" s="44"/>
      <c r="AL64" s="35"/>
      <c r="AM64" s="35"/>
      <c r="AN64" s="35"/>
      <c r="AO64" s="35"/>
      <c r="AP64" s="35"/>
      <c r="AQ64" s="35"/>
      <c r="AR64" s="35"/>
      <c r="AS64" s="35"/>
      <c r="AT64" s="35"/>
    </row>
    <row r="65" spans="1:46">
      <c r="B65" s="1" t="s">
        <v>119</v>
      </c>
      <c r="C65" s="29">
        <f t="shared" ref="C65:D65" si="193">C64+C62</f>
        <v>0</v>
      </c>
      <c r="D65" s="29">
        <f t="shared" si="193"/>
        <v>0</v>
      </c>
      <c r="E65" s="29">
        <f t="shared" ref="E65" si="194">E64+E62</f>
        <v>0</v>
      </c>
      <c r="F65" s="29">
        <f>F64+F62</f>
        <v>25986</v>
      </c>
      <c r="G65" s="29">
        <f t="shared" ref="G65:X65" si="195">G64+G62</f>
        <v>24555</v>
      </c>
      <c r="H65" s="29">
        <f t="shared" si="195"/>
        <v>23988</v>
      </c>
      <c r="I65" s="29">
        <f t="shared" si="195"/>
        <v>23652</v>
      </c>
      <c r="J65" s="29">
        <f t="shared" si="195"/>
        <v>22819</v>
      </c>
      <c r="K65" s="29">
        <f t="shared" si="195"/>
        <v>0</v>
      </c>
      <c r="L65" s="29">
        <f t="shared" si="195"/>
        <v>0</v>
      </c>
      <c r="M65" s="29">
        <f t="shared" si="195"/>
        <v>2870</v>
      </c>
      <c r="N65" s="29">
        <f t="shared" si="195"/>
        <v>18174</v>
      </c>
      <c r="O65" s="29">
        <f t="shared" si="195"/>
        <v>18929</v>
      </c>
      <c r="P65" s="29">
        <f t="shared" si="195"/>
        <v>20014</v>
      </c>
      <c r="Q65" s="29">
        <f t="shared" si="195"/>
        <v>18421</v>
      </c>
      <c r="R65" s="29">
        <f t="shared" si="195"/>
        <v>19310</v>
      </c>
      <c r="S65" s="29">
        <f t="shared" si="195"/>
        <v>0</v>
      </c>
      <c r="T65" s="29">
        <f t="shared" si="195"/>
        <v>0</v>
      </c>
      <c r="U65" s="29">
        <f t="shared" si="195"/>
        <v>0</v>
      </c>
      <c r="V65" s="29">
        <f t="shared" si="195"/>
        <v>26626</v>
      </c>
      <c r="W65" s="29">
        <f t="shared" si="195"/>
        <v>22980</v>
      </c>
      <c r="X65" s="29">
        <f t="shared" si="195"/>
        <v>19653</v>
      </c>
      <c r="Y65" s="29">
        <f>Y64+Y62</f>
        <v>19097</v>
      </c>
      <c r="Z65" s="29">
        <f>Z64+Z62</f>
        <v>20850</v>
      </c>
      <c r="AC65" s="29">
        <f t="shared" ref="AC65:AD65" si="196">AC64+AC62</f>
        <v>17755</v>
      </c>
      <c r="AD65" s="29">
        <f t="shared" si="196"/>
        <v>23847</v>
      </c>
      <c r="AE65" s="29">
        <f t="shared" ref="AE65" si="197">AE64+AE62</f>
        <v>25986</v>
      </c>
      <c r="AF65" s="29">
        <f t="shared" ref="AF65" si="198">AF64+AF62</f>
        <v>22819</v>
      </c>
      <c r="AG65" s="29">
        <f t="shared" ref="AG65" si="199">AG64+AG62</f>
        <v>18174</v>
      </c>
      <c r="AH65" s="29">
        <f t="shared" ref="AH65" si="200">AH64+AH62</f>
        <v>29726</v>
      </c>
      <c r="AI65" s="29">
        <f t="shared" ref="AI65:AJ65" si="201">AI64+AI62</f>
        <v>26626</v>
      </c>
      <c r="AJ65" s="29">
        <f t="shared" si="201"/>
        <v>20850</v>
      </c>
    </row>
    <row r="66" spans="1:46">
      <c r="Y66" s="29"/>
    </row>
    <row r="67" spans="1:46">
      <c r="B67" s="1" t="s">
        <v>120</v>
      </c>
      <c r="F67" s="29">
        <f>F48-F62</f>
        <v>8049</v>
      </c>
      <c r="G67" s="29">
        <f t="shared" ref="G67" si="202">G48-G62</f>
        <v>7596</v>
      </c>
      <c r="H67" s="29">
        <f t="shared" ref="H67" si="203">H48-H62</f>
        <v>7146</v>
      </c>
      <c r="I67" s="29">
        <f>I48-I62</f>
        <v>6929</v>
      </c>
      <c r="J67" s="29">
        <f t="shared" ref="J67" si="204">J48-J62</f>
        <v>6281</v>
      </c>
      <c r="N67" s="29">
        <f>N48-N62</f>
        <v>2870</v>
      </c>
      <c r="O67" s="29">
        <f t="shared" ref="O67" si="205">O48-O62</f>
        <v>2115</v>
      </c>
      <c r="P67" s="29">
        <f t="shared" ref="P67" si="206">P48-P62</f>
        <v>2902</v>
      </c>
      <c r="Q67" s="29">
        <f>Q48-Q62</f>
        <v>2740</v>
      </c>
      <c r="R67" s="29">
        <f>R48-R62</f>
        <v>3561</v>
      </c>
      <c r="V67" s="29">
        <f>V48-V62</f>
        <v>9778</v>
      </c>
      <c r="W67" s="29">
        <f>W48-W62</f>
        <v>7054</v>
      </c>
      <c r="X67" s="29">
        <f>X48-X62</f>
        <v>5243</v>
      </c>
      <c r="Y67" s="29">
        <f>Y48-Y62</f>
        <v>4853</v>
      </c>
      <c r="Z67" s="29">
        <f t="shared" ref="Z67" si="207">Z48-Z62</f>
        <v>5153</v>
      </c>
      <c r="AC67" s="29">
        <f t="shared" ref="AC67:AD67" si="208">AC48-AC62</f>
        <v>6576</v>
      </c>
      <c r="AD67" s="29">
        <f t="shared" si="208"/>
        <v>10539</v>
      </c>
      <c r="AE67" s="29">
        <f t="shared" ref="AE67" si="209">AE48-AE62</f>
        <v>8049</v>
      </c>
      <c r="AF67" s="29">
        <f t="shared" ref="AF67:AG67" si="210">AF48-AF62</f>
        <v>6281</v>
      </c>
      <c r="AG67" s="29">
        <f t="shared" si="210"/>
        <v>2870</v>
      </c>
      <c r="AH67" s="29">
        <f t="shared" ref="AH67" si="211">AH48-AH62</f>
        <v>11438</v>
      </c>
      <c r="AI67" s="29">
        <f>AI48-AI62</f>
        <v>9778</v>
      </c>
      <c r="AJ67" s="29">
        <f t="shared" ref="AJ67" si="212">AJ48-AJ62</f>
        <v>5153</v>
      </c>
    </row>
    <row r="68" spans="1:46">
      <c r="B68" s="1" t="s">
        <v>121</v>
      </c>
      <c r="F68" s="1">
        <f>F67/E22</f>
        <v>7.5790960451977405</v>
      </c>
      <c r="G68" s="1">
        <f>G67/G22</f>
        <v>7.5207920792079204</v>
      </c>
      <c r="H68" s="1">
        <f>H67/H22</f>
        <v>7.2036290322580649</v>
      </c>
      <c r="I68" s="1">
        <f>I67/I22</f>
        <v>7.113963039014374</v>
      </c>
      <c r="J68" s="1">
        <f>J67/J22</f>
        <v>6.6115789473684208</v>
      </c>
      <c r="N68" s="1">
        <f>N67/N22</f>
        <v>3.5563816604708798</v>
      </c>
      <c r="O68" s="1">
        <f>O67/O22</f>
        <v>2.808764940239044</v>
      </c>
      <c r="P68" s="1">
        <f>P67/P22</f>
        <v>4.1280227596017074</v>
      </c>
      <c r="Q68" s="1">
        <f>Q67/Q22</f>
        <v>3.9367816091954024</v>
      </c>
      <c r="R68" s="1">
        <f>R67/R22</f>
        <v>5.1758720930232558</v>
      </c>
      <c r="V68" s="1">
        <f>V67/V22</f>
        <v>16.135313531353134</v>
      </c>
      <c r="W68" s="1">
        <f>W67/W22</f>
        <v>12.017035775127768</v>
      </c>
      <c r="X68" s="1">
        <f>X67/X22</f>
        <v>9.4298561151079134</v>
      </c>
      <c r="Y68" s="1">
        <f>Y67/Y22</f>
        <v>8.9429996037272659</v>
      </c>
      <c r="Z68" s="1">
        <f t="shared" ref="Z68" si="213">Z67/Z22</f>
        <v>9.5249537892791132</v>
      </c>
      <c r="AC68" s="1">
        <f>AC67/AC22</f>
        <v>5.443708609271523</v>
      </c>
      <c r="AD68" s="1">
        <f>AD67/AD22</f>
        <v>9.301853486319505</v>
      </c>
      <c r="AE68" s="1">
        <f>AE67/AE22</f>
        <v>7.7768115942028988</v>
      </c>
      <c r="AF68" s="1">
        <f>AF67/AF22</f>
        <v>6.6115789473684208</v>
      </c>
      <c r="AG68" s="1">
        <f>AG67/AG22</f>
        <v>3.3804475853945819</v>
      </c>
      <c r="AH68" s="1">
        <f>AH67/AH22</f>
        <v>16.109859154929577</v>
      </c>
      <c r="AI68" s="1">
        <f>AI67/AI22</f>
        <v>14.996932515337424</v>
      </c>
      <c r="AJ68" s="1">
        <f t="shared" ref="AJ68" si="214">AJ67/AJ22</f>
        <v>9.2347670250896066</v>
      </c>
    </row>
    <row r="69" spans="1:46">
      <c r="Z69" s="1"/>
      <c r="AJ69" s="1"/>
    </row>
    <row r="70" spans="1:46" s="34" customFormat="1">
      <c r="B70" s="34" t="s">
        <v>6</v>
      </c>
      <c r="C70" s="35">
        <f>C35+C36</f>
        <v>0</v>
      </c>
      <c r="D70" s="35">
        <f>D35+D36</f>
        <v>0</v>
      </c>
      <c r="E70" s="35">
        <f>E35+E36</f>
        <v>0</v>
      </c>
      <c r="F70" s="35">
        <f>F35+F36</f>
        <v>5863</v>
      </c>
      <c r="G70" s="35">
        <f>G35+G36</f>
        <v>4806</v>
      </c>
      <c r="H70" s="35">
        <f>H35+H36</f>
        <v>4007</v>
      </c>
      <c r="I70" s="35">
        <f>I35+I36</f>
        <v>4838</v>
      </c>
      <c r="J70" s="35">
        <f>J35+J36</f>
        <v>4915</v>
      </c>
      <c r="K70" s="35">
        <f>K35+K36</f>
        <v>0</v>
      </c>
      <c r="L70" s="35">
        <f>L35+L36</f>
        <v>0</v>
      </c>
      <c r="M70" s="35">
        <f>M35+M36</f>
        <v>0</v>
      </c>
      <c r="N70" s="35">
        <f>N35+N36</f>
        <v>2751</v>
      </c>
      <c r="O70" s="35">
        <f>O35+O36</f>
        <v>4430</v>
      </c>
      <c r="P70" s="35">
        <f>P35+P36</f>
        <v>5303</v>
      </c>
      <c r="Q70" s="35">
        <f>Q35+Q36</f>
        <v>3660</v>
      </c>
      <c r="R70" s="35">
        <f>R35+R36</f>
        <v>3826</v>
      </c>
      <c r="S70" s="35">
        <f>S35+S36</f>
        <v>0</v>
      </c>
      <c r="T70" s="35">
        <f>T35+T36</f>
        <v>0</v>
      </c>
      <c r="U70" s="35">
        <f>U35+U36</f>
        <v>0</v>
      </c>
      <c r="V70" s="35">
        <f>V35+V36</f>
        <v>7323</v>
      </c>
      <c r="W70" s="35">
        <f>W35+W36</f>
        <v>5569</v>
      </c>
      <c r="X70" s="35">
        <f>X35+X36</f>
        <v>3225</v>
      </c>
      <c r="Y70" s="35">
        <f>Y35+Y36</f>
        <v>3494</v>
      </c>
      <c r="Z70" s="35">
        <f t="shared" ref="Z70" si="215">Z35+Z36</f>
        <v>4779</v>
      </c>
      <c r="AC70" s="35">
        <f>AC35+AC36</f>
        <v>6131</v>
      </c>
      <c r="AD70" s="35">
        <f>AD35+AD36</f>
        <v>7149</v>
      </c>
      <c r="AE70" s="35">
        <f>AE35+AE36</f>
        <v>5863</v>
      </c>
      <c r="AF70" s="35">
        <f>AF35+AF36</f>
        <v>4915</v>
      </c>
      <c r="AG70" s="35">
        <f>AG35+AG36</f>
        <v>2751</v>
      </c>
      <c r="AH70" s="35">
        <f>AH35+AH36</f>
        <v>3826</v>
      </c>
      <c r="AI70" s="35">
        <f>AI35+AI36</f>
        <v>7323</v>
      </c>
      <c r="AJ70" s="35">
        <f t="shared" ref="AJ70" si="216">AJ35+AJ36</f>
        <v>4779</v>
      </c>
      <c r="AK70" s="40"/>
    </row>
    <row r="71" spans="1:46" s="34" customFormat="1">
      <c r="B71" s="34" t="s">
        <v>7</v>
      </c>
      <c r="C71" s="35">
        <f t="shared" ref="C71:D71" si="217">C50+C60</f>
        <v>0</v>
      </c>
      <c r="D71" s="35">
        <f t="shared" si="217"/>
        <v>0</v>
      </c>
      <c r="E71" s="35">
        <f t="shared" ref="E71" si="218">E50+E60</f>
        <v>0</v>
      </c>
      <c r="F71" s="35">
        <f>F50+F60</f>
        <v>10015</v>
      </c>
      <c r="G71" s="35">
        <f t="shared" ref="G71:M71" si="219">G50+G60</f>
        <v>9228</v>
      </c>
      <c r="H71" s="35">
        <f t="shared" si="219"/>
        <v>9204</v>
      </c>
      <c r="I71" s="35">
        <f t="shared" si="219"/>
        <v>9207</v>
      </c>
      <c r="J71" s="35">
        <f t="shared" si="219"/>
        <v>9231</v>
      </c>
      <c r="K71" s="35">
        <f t="shared" si="219"/>
        <v>0</v>
      </c>
      <c r="L71" s="35">
        <f t="shared" si="219"/>
        <v>0</v>
      </c>
      <c r="M71" s="35">
        <f t="shared" si="219"/>
        <v>0</v>
      </c>
      <c r="N71" s="35">
        <f>N50+N60</f>
        <v>7758</v>
      </c>
      <c r="O71" s="35">
        <f t="shared" ref="O71:Q71" si="220">O50+O60</f>
        <v>8739</v>
      </c>
      <c r="P71" s="35">
        <f t="shared" si="220"/>
        <v>8677</v>
      </c>
      <c r="Q71" s="35">
        <f t="shared" si="220"/>
        <v>7755</v>
      </c>
      <c r="R71" s="35">
        <f>R50+R60</f>
        <v>7763</v>
      </c>
      <c r="S71" s="35">
        <f t="shared" ref="S71:U71" si="221">S50+S60</f>
        <v>0</v>
      </c>
      <c r="T71" s="35">
        <f t="shared" si="221"/>
        <v>0</v>
      </c>
      <c r="U71" s="35">
        <f t="shared" si="221"/>
        <v>0</v>
      </c>
      <c r="V71" s="35">
        <f>V50+V60</f>
        <v>9082</v>
      </c>
      <c r="W71" s="35">
        <f t="shared" ref="W71" si="222">W50+W60</f>
        <v>8333</v>
      </c>
      <c r="X71" s="35">
        <f t="shared" ref="X71" si="223">X50+X60</f>
        <v>7728</v>
      </c>
      <c r="Y71" s="35">
        <f>Y50+Y60</f>
        <v>7729</v>
      </c>
      <c r="Z71" s="35">
        <f t="shared" ref="Z71" si="224">Z50+Z60</f>
        <v>8871</v>
      </c>
      <c r="AC71" s="35">
        <f t="shared" ref="AC71:AD71" si="225">AC50+AC60</f>
        <v>6749</v>
      </c>
      <c r="AD71" s="35">
        <f t="shared" si="225"/>
        <v>8960</v>
      </c>
      <c r="AE71" s="35">
        <f t="shared" ref="AE71" si="226">AE50+AE60</f>
        <v>10015</v>
      </c>
      <c r="AF71" s="35">
        <f t="shared" ref="AF71:AG71" si="227">AF50+AF60</f>
        <v>9231</v>
      </c>
      <c r="AG71" s="35">
        <f t="shared" si="227"/>
        <v>7758</v>
      </c>
      <c r="AH71" s="35">
        <f t="shared" ref="AH71" si="228">AH50+AH60</f>
        <v>7763</v>
      </c>
      <c r="AI71" s="35">
        <f>AI50+AI60</f>
        <v>9082</v>
      </c>
      <c r="AJ71" s="35">
        <f t="shared" ref="AJ71" si="229">AJ50+AJ60</f>
        <v>8871</v>
      </c>
      <c r="AK71" s="40"/>
    </row>
    <row r="72" spans="1:46">
      <c r="B72" s="1" t="s">
        <v>8</v>
      </c>
      <c r="C72" s="29">
        <f t="shared" ref="C72:D72" si="230">C70-C71</f>
        <v>0</v>
      </c>
      <c r="D72" s="29">
        <f t="shared" si="230"/>
        <v>0</v>
      </c>
      <c r="E72" s="29">
        <f t="shared" ref="E72" si="231">E70-E71</f>
        <v>0</v>
      </c>
      <c r="F72" s="29">
        <f t="shared" ref="F72" si="232">F70-F71</f>
        <v>-4152</v>
      </c>
      <c r="G72" s="29">
        <f t="shared" ref="G72" si="233">G70-G71</f>
        <v>-4422</v>
      </c>
      <c r="H72" s="29">
        <f t="shared" ref="H72" si="234">H70-H71</f>
        <v>-5197</v>
      </c>
      <c r="I72" s="29">
        <f t="shared" ref="I72" si="235">I70-I71</f>
        <v>-4369</v>
      </c>
      <c r="J72" s="29">
        <f t="shared" ref="J72" si="236">J70-J71</f>
        <v>-4316</v>
      </c>
      <c r="K72" s="29">
        <f t="shared" ref="K72" si="237">K70-K71</f>
        <v>0</v>
      </c>
      <c r="L72" s="29">
        <f t="shared" ref="L72" si="238">L70-L71</f>
        <v>0</v>
      </c>
      <c r="M72" s="29">
        <f t="shared" ref="M72" si="239">M70-M71</f>
        <v>0</v>
      </c>
      <c r="N72" s="29">
        <f>N70-N71</f>
        <v>-5007</v>
      </c>
      <c r="O72" s="29">
        <f t="shared" ref="O72:Q72" si="240">O70-O71</f>
        <v>-4309</v>
      </c>
      <c r="P72" s="29">
        <f t="shared" si="240"/>
        <v>-3374</v>
      </c>
      <c r="Q72" s="29">
        <f t="shared" si="240"/>
        <v>-4095</v>
      </c>
      <c r="R72" s="29">
        <f>R70-R71</f>
        <v>-3937</v>
      </c>
      <c r="S72" s="29">
        <f t="shared" ref="S72:U72" si="241">S70-S71</f>
        <v>0</v>
      </c>
      <c r="T72" s="29">
        <f t="shared" si="241"/>
        <v>0</v>
      </c>
      <c r="U72" s="29">
        <f t="shared" si="241"/>
        <v>0</v>
      </c>
      <c r="V72" s="29">
        <f>V70-V71</f>
        <v>-1759</v>
      </c>
      <c r="W72" s="29">
        <f t="shared" ref="W72" si="242">W70-W71</f>
        <v>-2764</v>
      </c>
      <c r="X72" s="29">
        <f t="shared" ref="X72" si="243">X70-X71</f>
        <v>-4503</v>
      </c>
      <c r="Y72" s="29">
        <f>Y70-Y71</f>
        <v>-4235</v>
      </c>
      <c r="Z72" s="29">
        <f t="shared" ref="Z72" si="244">Z70-Z71</f>
        <v>-4092</v>
      </c>
      <c r="AC72" s="29">
        <f t="shared" ref="AC72:AD72" si="245">AC70-AC71</f>
        <v>-618</v>
      </c>
      <c r="AD72" s="29">
        <f t="shared" si="245"/>
        <v>-1811</v>
      </c>
      <c r="AE72" s="29">
        <f t="shared" ref="AE72" si="246">AE70-AE71</f>
        <v>-4152</v>
      </c>
      <c r="AF72" s="29">
        <f t="shared" ref="AF72:AG72" si="247">AF70-AF71</f>
        <v>-4316</v>
      </c>
      <c r="AG72" s="29">
        <f t="shared" si="247"/>
        <v>-5007</v>
      </c>
      <c r="AH72" s="29">
        <f t="shared" ref="AH72" si="248">AH70-AH71</f>
        <v>-3937</v>
      </c>
      <c r="AI72" s="29">
        <f>AI70-AI71</f>
        <v>-1759</v>
      </c>
      <c r="AJ72" s="29">
        <f t="shared" ref="AJ72" si="249">AJ70-AJ71</f>
        <v>-4092</v>
      </c>
    </row>
    <row r="74" spans="1:46">
      <c r="B74" s="1" t="s">
        <v>122</v>
      </c>
      <c r="C74" s="1">
        <v>31.65</v>
      </c>
      <c r="D74" s="1">
        <v>32.92</v>
      </c>
      <c r="E74" s="1">
        <v>36.26</v>
      </c>
      <c r="F74" s="1">
        <v>35.58</v>
      </c>
      <c r="G74" s="1">
        <v>37.93</v>
      </c>
      <c r="H74" s="1">
        <v>34.18</v>
      </c>
      <c r="I74" s="1">
        <v>31.13</v>
      </c>
      <c r="J74" s="1">
        <v>26.46</v>
      </c>
      <c r="K74" s="1">
        <v>35.14</v>
      </c>
      <c r="L74" s="1">
        <v>37.520000000000003</v>
      </c>
      <c r="M74" s="1">
        <v>37.159999999999997</v>
      </c>
      <c r="N74" s="1">
        <v>34.56</v>
      </c>
      <c r="O74" s="1">
        <v>28.9</v>
      </c>
      <c r="P74" s="1">
        <v>50.61</v>
      </c>
      <c r="Q74" s="1">
        <v>50.42</v>
      </c>
      <c r="R74" s="1">
        <v>48.78</v>
      </c>
      <c r="S74" s="1">
        <v>59.63</v>
      </c>
      <c r="T74" s="1">
        <v>68.58</v>
      </c>
      <c r="U74" s="1">
        <v>68.209999999999994</v>
      </c>
      <c r="V74" s="1">
        <v>65.27</v>
      </c>
      <c r="W74" s="1">
        <v>56.43</v>
      </c>
      <c r="X74" s="1">
        <v>41.26</v>
      </c>
      <c r="Y74" s="1">
        <v>36.619999999999997</v>
      </c>
      <c r="Z74" s="85">
        <v>41.47</v>
      </c>
      <c r="AC74" s="1">
        <v>25.91</v>
      </c>
      <c r="AD74" s="1">
        <v>27.99</v>
      </c>
      <c r="AE74" s="30">
        <f t="shared" ref="AE74" si="250">F74</f>
        <v>35.58</v>
      </c>
      <c r="AF74" s="30">
        <f t="shared" ref="AF74" si="251">J74</f>
        <v>26.46</v>
      </c>
      <c r="AG74" s="1">
        <f>N74</f>
        <v>34.56</v>
      </c>
      <c r="AH74" s="1">
        <f>R74</f>
        <v>48.78</v>
      </c>
      <c r="AI74" s="1">
        <f>V74</f>
        <v>65.27</v>
      </c>
      <c r="AJ74" s="86">
        <f>Z74</f>
        <v>41.47</v>
      </c>
    </row>
    <row r="75" spans="1:46">
      <c r="B75" s="1" t="s">
        <v>5</v>
      </c>
      <c r="C75" s="5">
        <f>C74*C22</f>
        <v>34276.949999999997</v>
      </c>
      <c r="D75" s="5">
        <f>D74*D22</f>
        <v>35421.919999999998</v>
      </c>
      <c r="E75" s="5">
        <f>E74*E22</f>
        <v>38508.119999999995</v>
      </c>
      <c r="F75" s="5">
        <f>F74*F22</f>
        <v>36825.299999999996</v>
      </c>
      <c r="G75" s="5">
        <f>G74*G22</f>
        <v>38309.300000000003</v>
      </c>
      <c r="H75" s="5">
        <f>H74*H22</f>
        <v>33906.559999999998</v>
      </c>
      <c r="I75" s="5">
        <f>I74*I22</f>
        <v>30320.62</v>
      </c>
      <c r="J75" s="5">
        <f>J74*J22</f>
        <v>25137</v>
      </c>
      <c r="K75" s="5">
        <f>K74*K22</f>
        <v>31626</v>
      </c>
      <c r="L75" s="5">
        <f>L74*L22</f>
        <v>32267.200000000004</v>
      </c>
      <c r="M75" s="5">
        <f>M74*M22</f>
        <v>30842.799999999996</v>
      </c>
      <c r="N75" s="5">
        <f>N74*N22</f>
        <v>27889.920000000002</v>
      </c>
      <c r="O75" s="5">
        <f>O74*O22</f>
        <v>21761.7</v>
      </c>
      <c r="P75" s="5">
        <f>P74*P22</f>
        <v>35578.83</v>
      </c>
      <c r="Q75" s="5">
        <f>Q74*Q22</f>
        <v>35092.32</v>
      </c>
      <c r="R75" s="5">
        <f>R74*R22</f>
        <v>33560.639999999999</v>
      </c>
      <c r="S75" s="5">
        <f>S74*S22</f>
        <v>40608.03</v>
      </c>
      <c r="T75" s="5">
        <f>T74*T22</f>
        <v>46222.92</v>
      </c>
      <c r="U75" s="5">
        <f>U74*U22</f>
        <v>44882.179999999993</v>
      </c>
      <c r="V75" s="5">
        <f>V74*V22</f>
        <v>39553.619999999995</v>
      </c>
      <c r="W75" s="5">
        <f>W74*W22</f>
        <v>33124.409999999996</v>
      </c>
      <c r="X75" s="5">
        <f>X74*X22</f>
        <v>22940.559999999998</v>
      </c>
      <c r="Y75" s="5">
        <f>Y74*Y22</f>
        <v>19872.175765939999</v>
      </c>
      <c r="Z75" s="5">
        <f t="shared" ref="Z75" si="252">Z74*Z22</f>
        <v>22435.27</v>
      </c>
      <c r="AC75" s="5">
        <f>AC74*AC22</f>
        <v>31299.279999999999</v>
      </c>
      <c r="AD75" s="5">
        <f>AD74*AD22</f>
        <v>31712.67</v>
      </c>
      <c r="AE75" s="5">
        <f>AE74*AE22</f>
        <v>36825.299999999996</v>
      </c>
      <c r="AF75" s="5">
        <f>AF74*AF22</f>
        <v>25137</v>
      </c>
      <c r="AG75" s="5">
        <f>AG74*AG22</f>
        <v>29341.440000000002</v>
      </c>
      <c r="AH75" s="5">
        <f>AH74*AH22</f>
        <v>34633.800000000003</v>
      </c>
      <c r="AI75" s="5">
        <f>AI74*AI22</f>
        <v>42556.04</v>
      </c>
      <c r="AJ75" s="5">
        <f t="shared" ref="AJ75" si="253">AJ74*AJ22</f>
        <v>23140.26</v>
      </c>
    </row>
    <row r="76" spans="1:46">
      <c r="B76" s="1" t="s">
        <v>9</v>
      </c>
      <c r="E76" s="5"/>
      <c r="F76" s="5">
        <f t="shared" ref="F76" si="254">F75-G72</f>
        <v>41247.299999999996</v>
      </c>
      <c r="G76" s="5">
        <f t="shared" ref="G76" si="255">G75-G72</f>
        <v>42731.3</v>
      </c>
      <c r="H76" s="5">
        <f t="shared" ref="H76" si="256">H75-H72</f>
        <v>39103.56</v>
      </c>
      <c r="I76" s="5">
        <f t="shared" ref="I76:J76" si="257">I75-I72</f>
        <v>34689.619999999995</v>
      </c>
      <c r="J76" s="5">
        <f t="shared" si="257"/>
        <v>29453</v>
      </c>
      <c r="N76" s="5">
        <f>N75-N72</f>
        <v>32896.92</v>
      </c>
      <c r="O76" s="5">
        <f t="shared" ref="O76" si="258">O75-O72</f>
        <v>26070.7</v>
      </c>
      <c r="P76" s="5">
        <f t="shared" ref="P76" si="259">P75-P72</f>
        <v>38952.83</v>
      </c>
      <c r="Q76" s="5">
        <f t="shared" ref="Q76" si="260">Q75-Q72</f>
        <v>39187.32</v>
      </c>
      <c r="R76" s="5">
        <f>R75-R72</f>
        <v>37497.64</v>
      </c>
      <c r="U76" s="5">
        <f>U75-U72</f>
        <v>44882.179999999993</v>
      </c>
      <c r="V76" s="5">
        <f>V75-V72</f>
        <v>41312.619999999995</v>
      </c>
      <c r="W76" s="5">
        <f t="shared" ref="W76:X76" si="261">W75-W72</f>
        <v>35888.409999999996</v>
      </c>
      <c r="X76" s="5">
        <f t="shared" si="261"/>
        <v>27443.559999999998</v>
      </c>
      <c r="Y76" s="5">
        <f>Y75-Y72</f>
        <v>24107.175765939999</v>
      </c>
      <c r="Z76" s="5">
        <f t="shared" ref="Z76" si="262">Z75-Z72</f>
        <v>26527.27</v>
      </c>
      <c r="AC76" s="5">
        <f t="shared" ref="AC76:AD76" si="263">AC75-AC72</f>
        <v>31917.279999999999</v>
      </c>
      <c r="AD76" s="5">
        <f t="shared" si="263"/>
        <v>33523.67</v>
      </c>
      <c r="AE76" s="5">
        <f t="shared" ref="AE76" si="264">AE75-AE72</f>
        <v>40977.299999999996</v>
      </c>
      <c r="AF76" s="5">
        <f t="shared" ref="AF76:AG76" si="265">AF75-AF72</f>
        <v>29453</v>
      </c>
      <c r="AG76" s="5">
        <f t="shared" si="265"/>
        <v>34348.44</v>
      </c>
      <c r="AH76" s="5">
        <f t="shared" ref="AH76" si="266">AH75-AH72</f>
        <v>38570.800000000003</v>
      </c>
      <c r="AI76" s="5">
        <f>AI75-AI72</f>
        <v>44315.040000000001</v>
      </c>
      <c r="AJ76" s="5">
        <f t="shared" ref="AJ76" si="267">AJ75-AJ72</f>
        <v>27232.26</v>
      </c>
    </row>
    <row r="77" spans="1:46">
      <c r="AJ77" s="1"/>
    </row>
    <row r="78" spans="1:46" s="38" customFormat="1">
      <c r="A78" s="39">
        <f>AVERAGE(G78:Y78)</f>
        <v>6.9135709765197264</v>
      </c>
      <c r="B78" s="38" t="s">
        <v>64</v>
      </c>
      <c r="F78" s="38">
        <f>F74/F68</f>
        <v>4.6944912411479685</v>
      </c>
      <c r="G78" s="38">
        <f t="shared" ref="G78" si="268">G74/G68</f>
        <v>5.0433517640863617</v>
      </c>
      <c r="H78" s="38">
        <f t="shared" ref="H78" si="269">H74/H68</f>
        <v>4.744830674503218</v>
      </c>
      <c r="I78" s="38">
        <f>I74/I68</f>
        <v>4.3759012844566314</v>
      </c>
      <c r="J78" s="38">
        <f>J74/J68</f>
        <v>4.0020697341187708</v>
      </c>
      <c r="N78" s="38">
        <f>N74/N68</f>
        <v>9.7177421602787462</v>
      </c>
      <c r="O78" s="38">
        <f t="shared" ref="O78" si="270">O74/O68</f>
        <v>10.289219858156027</v>
      </c>
      <c r="P78" s="38">
        <f t="shared" ref="P78:Q78" si="271">P74/P68</f>
        <v>12.26010682288077</v>
      </c>
      <c r="Q78" s="38">
        <f t="shared" si="271"/>
        <v>12.807416058394161</v>
      </c>
      <c r="R78" s="38">
        <f>R74/R68</f>
        <v>9.4244987363100261</v>
      </c>
      <c r="V78" s="38">
        <f>V74/V68</f>
        <v>4.0451646553487421</v>
      </c>
      <c r="W78" s="38">
        <f>W74/W68</f>
        <v>4.695833569605897</v>
      </c>
      <c r="X78" s="38">
        <f>X74/X68</f>
        <v>4.3754644287621591</v>
      </c>
      <c r="Y78" s="38">
        <f>Y74/Y68</f>
        <v>4.0948229478549347</v>
      </c>
      <c r="Z78" s="38">
        <f t="shared" ref="Z78" si="272">Z74/Z68</f>
        <v>4.3538268969532306</v>
      </c>
      <c r="AB78" s="39">
        <f>AVERAGE(AC78:AI78)</f>
        <v>4.8499415907579078</v>
      </c>
      <c r="AC78" s="38">
        <f t="shared" ref="AC78:AD78" si="273">AC74/AC68</f>
        <v>4.7596228710462292</v>
      </c>
      <c r="AD78" s="38">
        <f t="shared" si="273"/>
        <v>3.009077711357814</v>
      </c>
      <c r="AE78" s="38">
        <f t="shared" ref="AE78" si="274">AE74/AE68</f>
        <v>4.5751397689153928</v>
      </c>
      <c r="AF78" s="38">
        <f t="shared" ref="AF78:AG78" si="275">AF74/AF68</f>
        <v>4.0020697341187708</v>
      </c>
      <c r="AG78" s="38">
        <f t="shared" si="275"/>
        <v>10.223498257839722</v>
      </c>
      <c r="AH78" s="38">
        <f t="shared" ref="AH78" si="276">AH74/AH68</f>
        <v>3.0279594334673896</v>
      </c>
      <c r="AI78" s="38">
        <f>AI74/AI68</f>
        <v>4.3522233585600327</v>
      </c>
      <c r="AJ78" s="38">
        <f t="shared" ref="AJ78" si="277">AJ74/AJ68</f>
        <v>4.4906384630312433</v>
      </c>
      <c r="AK78" s="46"/>
      <c r="AL78" s="65"/>
      <c r="AM78" s="65"/>
      <c r="AN78" s="65"/>
      <c r="AO78" s="65"/>
      <c r="AP78" s="65"/>
      <c r="AQ78" s="65"/>
      <c r="AR78" s="65"/>
      <c r="AS78" s="65"/>
      <c r="AT78" s="65"/>
    </row>
    <row r="79" spans="1:46">
      <c r="A79" s="39">
        <f>AVERAGE(G79:Y79)</f>
        <v>3.197187519156873</v>
      </c>
      <c r="B79" s="1" t="s">
        <v>65</v>
      </c>
      <c r="F79" s="38">
        <f>F75/SUM(C4:F4)</f>
        <v>3.7096101541251127</v>
      </c>
      <c r="G79" s="38">
        <f>G75/SUM(D4:G4)</f>
        <v>3.7543414347314781</v>
      </c>
      <c r="H79" s="38">
        <f>H75/SUM(E4:H4)</f>
        <v>3.252427817745803</v>
      </c>
      <c r="I79" s="38">
        <f>I75/SUM(F4:I4)</f>
        <v>2.866927004538578</v>
      </c>
      <c r="J79" s="38">
        <f>J75/SUM(G4:J4)</f>
        <v>2.3391959798994977</v>
      </c>
      <c r="K79" s="38">
        <f>K75/SUM(H4:K4)</f>
        <v>2.9895075148879857</v>
      </c>
      <c r="L79" s="38">
        <f>L75/SUM(I4:L4)</f>
        <v>3.1139934375603171</v>
      </c>
      <c r="M79" s="38">
        <f>M75/SUM(J4:M4)</f>
        <v>3.1485095957533682</v>
      </c>
      <c r="N79" s="38">
        <f>N75/SUM(K4:N4)</f>
        <v>3.0464139814309124</v>
      </c>
      <c r="O79" s="38">
        <f>O75/SUM(L4:O4)</f>
        <v>2.3871983326020185</v>
      </c>
      <c r="P79" s="38">
        <f>P75/SUM(M4:P4)</f>
        <v>3.7224136848713121</v>
      </c>
      <c r="Q79" s="38">
        <f>Q75/SUM(N4:Q4)</f>
        <v>3.4810356115464733</v>
      </c>
      <c r="R79" s="38">
        <f>R75/SUM(O4:R4)</f>
        <v>3.1327023242789136</v>
      </c>
      <c r="S79" s="38">
        <f>S75/SUM(P4:S4)</f>
        <v>3.6993741459415141</v>
      </c>
      <c r="T79" s="38">
        <f>T75/SUM(Q4:T4)</f>
        <v>4.2878404452690164</v>
      </c>
      <c r="U79" s="38">
        <f>U75/SUM(R4:U4)</f>
        <v>4.2044196721311469</v>
      </c>
      <c r="V79" s="38">
        <f>V75/SUM(S4:V4)</f>
        <v>3.7959328214971206</v>
      </c>
      <c r="W79" s="38">
        <f>W75/SUM(T4:W4)</f>
        <v>3.2269274232830001</v>
      </c>
      <c r="X79" s="38">
        <f>X75/SUM(U4:X4)</f>
        <v>2.2897055594370692</v>
      </c>
      <c r="Y79" s="38">
        <f>Y75/SUM(V4:Y4)</f>
        <v>2.0076960765750655</v>
      </c>
      <c r="Z79" s="38">
        <f t="shared" ref="Z79" si="278">Z75/SUM(W4:Z4)</f>
        <v>2.2904818785094436</v>
      </c>
      <c r="AB79" s="39">
        <f t="shared" ref="AB79:AB82" si="279">AVERAGE(AC79:AI79)</f>
        <v>3.3922041867436059</v>
      </c>
      <c r="AC79" s="38">
        <f>AC75/AC4</f>
        <v>3.6428398510242084</v>
      </c>
      <c r="AD79" s="38">
        <f>AD75/AD4</f>
        <v>3.5318710324089539</v>
      </c>
      <c r="AE79" s="38">
        <f>AE75/AE4</f>
        <v>3.7096101541251127</v>
      </c>
      <c r="AF79" s="38">
        <f>AF75/AF4</f>
        <v>2.3391959798994977</v>
      </c>
      <c r="AG79" s="38">
        <f>AG75/AG4</f>
        <v>3.2049634079737852</v>
      </c>
      <c r="AH79" s="38">
        <f>AH75/AH4</f>
        <v>3.2328759451134137</v>
      </c>
      <c r="AI79" s="38">
        <f>AI75/AI4</f>
        <v>4.0840729366602684</v>
      </c>
      <c r="AJ79" s="38">
        <f t="shared" ref="AJ79" si="280">AJ75/AJ4</f>
        <v>2.3624563552833076</v>
      </c>
    </row>
    <row r="80" spans="1:46">
      <c r="B80" s="1" t="s">
        <v>66</v>
      </c>
      <c r="Z80" s="1"/>
      <c r="AB80" s="39">
        <f t="shared" si="279"/>
        <v>3.7031660365898795</v>
      </c>
      <c r="AC80" s="38">
        <f>AC76/AC4</f>
        <v>3.7147672253258843</v>
      </c>
      <c r="AD80" s="38">
        <f>AD76/AD4</f>
        <v>3.7335638712551509</v>
      </c>
      <c r="AE80" s="38">
        <f>AE76/AE4</f>
        <v>4.1278634028407373</v>
      </c>
      <c r="AF80" s="38">
        <f>AF76/AF4</f>
        <v>2.7408337986227433</v>
      </c>
      <c r="AG80" s="38">
        <f>AG76/AG4</f>
        <v>3.7518776624795196</v>
      </c>
      <c r="AH80" s="38">
        <f>AH76/AH4</f>
        <v>3.6003733781387104</v>
      </c>
      <c r="AI80" s="38">
        <f>AI76/AI4</f>
        <v>4.2528829174664109</v>
      </c>
      <c r="AJ80" s="38">
        <f t="shared" ref="AJ80" si="281">AJ76/AJ4</f>
        <v>2.7802205206738129</v>
      </c>
    </row>
    <row r="81" spans="1:46" s="38" customFormat="1">
      <c r="A81" s="39">
        <f>AVERAGE(G81:Y81)</f>
        <v>-9.9459851224596605</v>
      </c>
      <c r="B81" s="38" t="s">
        <v>67</v>
      </c>
      <c r="F81" s="38">
        <f>F74/SUM(C21:F21)</f>
        <v>-34.186196284168958</v>
      </c>
      <c r="G81" s="38">
        <f>G74/SUM(D21:G21)</f>
        <v>-23.803258337409265</v>
      </c>
      <c r="H81" s="38">
        <f>H74/SUM(E21:H21)</f>
        <v>-35.119316071931394</v>
      </c>
      <c r="I81" s="38">
        <f>I74/SUM(F21:I21)</f>
        <v>-43.077600182512285</v>
      </c>
      <c r="J81" s="38">
        <f>J74/SUM(G21:J21)</f>
        <v>10.214661840651397</v>
      </c>
      <c r="K81" s="38">
        <f>K74/SUM(H21:K21)</f>
        <v>12.718154987157886</v>
      </c>
      <c r="L81" s="38">
        <f>L74/SUM(I21:L21)</f>
        <v>14.524374227423833</v>
      </c>
      <c r="M81" s="38">
        <f>M74/SUM(J21:M21)</f>
        <v>16.765235423602924</v>
      </c>
      <c r="N81" s="38">
        <f>N74/SUM(K21:N21)</f>
        <v>16.414442706508094</v>
      </c>
      <c r="O81" s="38">
        <f>O74/SUM(L21:O21)</f>
        <v>4.7680989418995381</v>
      </c>
      <c r="P81" s="38">
        <f>P74/SUM(M21:P21)</f>
        <v>7.6049907925668574</v>
      </c>
      <c r="Q81" s="38">
        <f>Q74/SUM(N21:Q21)</f>
        <v>6.9685453631242744</v>
      </c>
      <c r="R81" s="38">
        <f>R74/SUM(O21:R21)</f>
        <v>6.2742813338289967</v>
      </c>
      <c r="S81" s="38">
        <f>S74/SUM(P21:S21)</f>
        <v>14.249698502138768</v>
      </c>
      <c r="T81" s="38">
        <f>T74/SUM(Q21:T21)</f>
        <v>3.600132376127589</v>
      </c>
      <c r="U81" s="38">
        <f>U74/SUM(R21:U21)</f>
        <v>3.6877262294124424</v>
      </c>
      <c r="V81" s="38">
        <f>V74/SUM(S21:V21)</f>
        <v>3.181191505918596</v>
      </c>
      <c r="W81" s="38">
        <f>W74/SUM(T21:W21)</f>
        <v>3.2634136402727529</v>
      </c>
      <c r="X81" s="38">
        <f>X74/SUM(U21:X21)</f>
        <v>100.42416013144638</v>
      </c>
      <c r="Y81" s="38">
        <f>Y74/SUM(V21:Y21)</f>
        <v>-311.63265073696095</v>
      </c>
      <c r="Z81" s="38">
        <f t="shared" ref="Z81" si="282">Z74/SUM(W21:Z21)</f>
        <v>-19.523757925502988</v>
      </c>
      <c r="AB81" s="39">
        <f t="shared" si="279"/>
        <v>4.3961723137688082</v>
      </c>
      <c r="AC81" s="38">
        <f>AC74/AC21</f>
        <v>18.144510144927537</v>
      </c>
      <c r="AD81" s="38">
        <f>AD74/AD21</f>
        <v>4.3645293146160196</v>
      </c>
      <c r="AE81" s="38">
        <f>AE74/AE21</f>
        <v>-27.338752783964363</v>
      </c>
      <c r="AF81" s="38">
        <f>AF74/AF21</f>
        <v>9.9355731225296449</v>
      </c>
      <c r="AG81" s="38">
        <f>AG74/AG21</f>
        <v>16.428577827547596</v>
      </c>
      <c r="AH81" s="38">
        <f>AH74/AH21</f>
        <v>6.1114875595553206</v>
      </c>
      <c r="AI81" s="38">
        <f>AI74/AI21</f>
        <v>3.1272810111699001</v>
      </c>
      <c r="AJ81" s="38">
        <f t="shared" ref="AJ81" si="283">AJ74/AJ21</f>
        <v>-18.238628571428571</v>
      </c>
      <c r="AK81" s="46"/>
      <c r="AL81" s="65"/>
      <c r="AM81" s="65"/>
      <c r="AN81" s="65"/>
      <c r="AO81" s="65"/>
      <c r="AP81" s="65"/>
      <c r="AQ81" s="65"/>
      <c r="AR81" s="65"/>
      <c r="AS81" s="65"/>
      <c r="AT81" s="65"/>
    </row>
    <row r="82" spans="1:46">
      <c r="B82" s="1" t="s">
        <v>68</v>
      </c>
      <c r="AB82" s="39">
        <f t="shared" si="279"/>
        <v>4.8045273010515652</v>
      </c>
      <c r="AC82" s="38">
        <f>AC76/AC20</f>
        <v>18.502771014492755</v>
      </c>
      <c r="AD82" s="38">
        <f>AD76/AD20</f>
        <v>4.6137723644371045</v>
      </c>
      <c r="AE82" s="38">
        <f>AE76/AE20</f>
        <v>-30.421158129175943</v>
      </c>
      <c r="AF82" s="38">
        <f>AF76/AF20</f>
        <v>11.641501976284585</v>
      </c>
      <c r="AG82" s="38">
        <f>AG76/AG20</f>
        <v>19.232049272116463</v>
      </c>
      <c r="AH82" s="38">
        <f>AH76/AH20</f>
        <v>6.8062113993294515</v>
      </c>
      <c r="AI82" s="38">
        <f>AI76/AI20</f>
        <v>3.2565432098765434</v>
      </c>
      <c r="AJ82" s="38">
        <f t="shared" ref="AJ82" si="284">AJ76/AJ20</f>
        <v>-21.463850246305416</v>
      </c>
    </row>
    <row r="83" spans="1:46">
      <c r="B83" s="1" t="s">
        <v>69</v>
      </c>
    </row>
  </sheetData>
  <hyperlinks>
    <hyperlink ref="Y1" r:id="rId1" xr:uid="{49F1DD79-8698-4944-99B0-7BC1D2FB2359}"/>
    <hyperlink ref="X1" r:id="rId2" xr:uid="{6A192FE3-6C0F-4DBB-A224-38F31257B5EE}"/>
    <hyperlink ref="W1" r:id="rId3" xr:uid="{5ED5459B-BD86-4BA7-A2DC-F8B34520EBBD}"/>
    <hyperlink ref="V1" r:id="rId4" xr:uid="{C4C49680-5B89-411F-8EB7-99308651B6F0}"/>
    <hyperlink ref="AI1" r:id="rId5" xr:uid="{02AA5235-6A5F-4EFE-9939-09C66FA4C968}"/>
    <hyperlink ref="R1" r:id="rId6" xr:uid="{0568B661-4E92-9D48-A872-D956A7EA9DB6}"/>
    <hyperlink ref="AH1" r:id="rId7" xr:uid="{22A87107-1FE4-204B-9C07-8FE8E6C6EC9E}"/>
    <hyperlink ref="Q1" r:id="rId8" xr:uid="{9650ADDB-E1E0-8647-BABB-B7854A0392A2}"/>
    <hyperlink ref="P1" r:id="rId9" xr:uid="{340F312E-E78C-194B-9379-10264A294398}"/>
    <hyperlink ref="O1" r:id="rId10" xr:uid="{1EA5DAD6-79CA-2A4B-AA8F-3E57311BFB07}"/>
    <hyperlink ref="J1" r:id="rId11" xr:uid="{EF452910-C63D-4FF7-8AD7-D1F12358F554}"/>
    <hyperlink ref="AF1" r:id="rId12" xr:uid="{8F2D3DE9-165E-481D-BCBB-939394C8E023}"/>
    <hyperlink ref="I1" r:id="rId13" xr:uid="{A65B4E57-B629-4D2D-A351-F5B7A1FB252A}"/>
    <hyperlink ref="H1" r:id="rId14" xr:uid="{3FE2498B-421B-4084-A2F7-E2F5929440C6}"/>
    <hyperlink ref="G1" r:id="rId15" xr:uid="{478E0185-6005-4167-BAB4-BB4F0CF78C16}"/>
    <hyperlink ref="AD1" r:id="rId16" xr:uid="{B3E42245-C17E-41B0-B7FE-22B9926644BE}"/>
    <hyperlink ref="Z1" r:id="rId17" xr:uid="{051412DB-510B-F24F-8711-FEE31A883CB3}"/>
    <hyperlink ref="AJ1" r:id="rId18" xr:uid="{8C83BC86-B9A4-7C44-A2FA-835AF585F83B}"/>
  </hyperlinks>
  <pageMargins left="0.7" right="0.7" top="0.75" bottom="0.75" header="0.3" footer="0.3"/>
  <pageSetup paperSize="256" orientation="portrait" horizontalDpi="203" verticalDpi="203" r:id="rId19"/>
  <ignoredErrors>
    <ignoredError sqref="AI4 AH4:AH5 AG4:AG5 AG22 AF4:AF5 AE4:AE5 F79:X79 Z11 AJ14 AJ4:AJ5 AJ15 AJ22:AJ28 AJ7:AJ13 Y79:Z79" formulaRange="1"/>
    <ignoredError sqref="AI5:AI11 AI14:AI15 AH6:AH11 AH14:AH19 AG7:AG11 AG14:AG15 AE7:AF11 AF6 AE14:AF15 AF12:AF13 AE17:AF17 AF16 AE19:AF19 AF18 AI19:AJ19 AI17 AG17 AG19 AJ16:AJ18 AJ20:AJ21 AJ6" formula="1" formulaRange="1"/>
    <ignoredError sqref="AH40:AI40 AH57:AH62 AG40:AG63 AG65 AG6 AF38:AF57 AE40:AE63 AE16 AE18 Z16 AI16 AI18 AG16 AG20:AG21 AG18 AF35:AF36 AJ40:AJ74" formula="1"/>
  </ignoredErrors>
  <drawing r:id="rId2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834869-8EF1-4DB5-8D8A-861D876A6D42}">
  <dimension ref="A1:D30"/>
  <sheetViews>
    <sheetView workbookViewId="0">
      <selection activeCell="H28" sqref="H28"/>
    </sheetView>
  </sheetViews>
  <sheetFormatPr baseColWidth="10" defaultColWidth="9.1640625" defaultRowHeight="13"/>
  <cols>
    <col min="1" max="1" width="28.5" style="1" bestFit="1" customWidth="1"/>
    <col min="2" max="16384" width="9.1640625" style="1"/>
  </cols>
  <sheetData>
    <row r="1" spans="1:4">
      <c r="C1" s="41" t="s">
        <v>41</v>
      </c>
      <c r="D1" s="95" t="s">
        <v>41</v>
      </c>
    </row>
    <row r="2" spans="1:4">
      <c r="C2" s="42" t="s">
        <v>131</v>
      </c>
      <c r="D2" s="96">
        <v>44926</v>
      </c>
    </row>
    <row r="3" spans="1:4">
      <c r="C3" s="42"/>
      <c r="D3" s="97">
        <v>44593</v>
      </c>
    </row>
    <row r="4" spans="1:4">
      <c r="A4" s="2" t="s">
        <v>72</v>
      </c>
      <c r="C4" s="47">
        <v>2356.1999999999998</v>
      </c>
      <c r="D4" s="98">
        <v>2510</v>
      </c>
    </row>
    <row r="5" spans="1:4">
      <c r="A5" s="1" t="s">
        <v>73</v>
      </c>
      <c r="C5" s="44">
        <v>636.17399999999998</v>
      </c>
      <c r="D5" s="99">
        <v>681</v>
      </c>
    </row>
    <row r="6" spans="1:4">
      <c r="A6" s="2" t="s">
        <v>74</v>
      </c>
      <c r="C6" s="47">
        <v>1720.0259999999998</v>
      </c>
      <c r="D6" s="98">
        <v>1829</v>
      </c>
    </row>
    <row r="7" spans="1:4">
      <c r="A7" s="1" t="s">
        <v>75</v>
      </c>
      <c r="C7" s="44">
        <v>541.92599999999993</v>
      </c>
      <c r="D7" s="99">
        <v>554</v>
      </c>
    </row>
    <row r="8" spans="1:4">
      <c r="A8" s="1" t="s">
        <v>76</v>
      </c>
      <c r="C8" s="44">
        <v>332.22419999999994</v>
      </c>
      <c r="D8" s="99">
        <v>340</v>
      </c>
    </row>
    <row r="9" spans="1:4">
      <c r="A9" s="1" t="s">
        <v>77</v>
      </c>
      <c r="C9" s="44">
        <v>200.27699999999999</v>
      </c>
      <c r="D9" s="99">
        <v>288</v>
      </c>
    </row>
    <row r="10" spans="1:4">
      <c r="A10" s="1" t="s">
        <v>78</v>
      </c>
      <c r="C10" s="44">
        <v>70.685999999999993</v>
      </c>
      <c r="D10" s="99">
        <v>81</v>
      </c>
    </row>
    <row r="11" spans="1:4">
      <c r="A11" s="1" t="s">
        <v>79</v>
      </c>
      <c r="C11" s="44">
        <v>0.75</v>
      </c>
      <c r="D11" s="99">
        <v>0.75</v>
      </c>
    </row>
    <row r="12" spans="1:4">
      <c r="A12" s="1" t="s">
        <v>80</v>
      </c>
      <c r="C12" s="44">
        <v>1145.8631999999998</v>
      </c>
      <c r="D12" s="99">
        <v>1263.75</v>
      </c>
    </row>
    <row r="13" spans="1:4">
      <c r="A13" s="2" t="s">
        <v>81</v>
      </c>
      <c r="C13" s="47">
        <v>574.16280000000006</v>
      </c>
      <c r="D13" s="98">
        <v>565.25</v>
      </c>
    </row>
    <row r="14" spans="1:4">
      <c r="A14" s="1" t="s">
        <v>87</v>
      </c>
      <c r="C14" s="44">
        <v>-700</v>
      </c>
      <c r="D14" s="99">
        <v>319</v>
      </c>
    </row>
    <row r="15" spans="1:4">
      <c r="A15" s="1" t="s">
        <v>82</v>
      </c>
      <c r="C15" s="44">
        <v>-21</v>
      </c>
      <c r="D15" s="99">
        <v>-55</v>
      </c>
    </row>
    <row r="16" spans="1:4">
      <c r="A16" s="1" t="s">
        <v>83</v>
      </c>
      <c r="C16" s="44">
        <v>-146.83719999999994</v>
      </c>
      <c r="D16" s="99">
        <v>829.25</v>
      </c>
    </row>
    <row r="17" spans="1:4">
      <c r="A17" s="1" t="s">
        <v>84</v>
      </c>
      <c r="C17" s="44">
        <v>188.25</v>
      </c>
      <c r="D17" s="99">
        <v>-158</v>
      </c>
    </row>
    <row r="18" spans="1:4">
      <c r="A18" s="1" t="s">
        <v>85</v>
      </c>
      <c r="C18" s="44">
        <v>41.412800000000061</v>
      </c>
      <c r="D18" s="99">
        <v>671.25</v>
      </c>
    </row>
    <row r="19" spans="1:4">
      <c r="A19" s="1" t="s">
        <v>86</v>
      </c>
      <c r="C19" s="44">
        <v>2</v>
      </c>
      <c r="D19" s="99">
        <v>1</v>
      </c>
    </row>
    <row r="20" spans="1:4">
      <c r="A20" s="2" t="s">
        <v>71</v>
      </c>
      <c r="C20" s="47">
        <v>43.412800000000061</v>
      </c>
      <c r="D20" s="98">
        <v>672.25</v>
      </c>
    </row>
    <row r="21" spans="1:4">
      <c r="A21" s="1" t="s">
        <v>70</v>
      </c>
      <c r="C21" s="48">
        <v>8.0000134596474676E-2</v>
      </c>
      <c r="D21" s="100">
        <v>1.2426062846580406</v>
      </c>
    </row>
    <row r="22" spans="1:4">
      <c r="A22" s="29" t="s">
        <v>4</v>
      </c>
      <c r="C22" s="44">
        <v>542.659087</v>
      </c>
      <c r="D22" s="99">
        <v>541</v>
      </c>
    </row>
    <row r="23" spans="1:4">
      <c r="C23" s="40"/>
      <c r="D23" s="101"/>
    </row>
    <row r="24" spans="1:4">
      <c r="A24" s="2" t="s">
        <v>88</v>
      </c>
      <c r="C24" s="49">
        <v>-9.8277841561423718E-2</v>
      </c>
      <c r="D24" s="102">
        <v>-3.9418293149636408E-2</v>
      </c>
    </row>
    <row r="25" spans="1:4">
      <c r="A25" s="1" t="s">
        <v>89</v>
      </c>
      <c r="C25" s="45">
        <v>-0.01</v>
      </c>
      <c r="D25" s="103">
        <v>5.4621848739495826E-2</v>
      </c>
    </row>
    <row r="26" spans="1:4">
      <c r="C26" s="40"/>
      <c r="D26" s="101"/>
    </row>
    <row r="27" spans="1:4">
      <c r="A27" s="1" t="s">
        <v>90</v>
      </c>
      <c r="C27" s="45">
        <v>0.73</v>
      </c>
      <c r="D27" s="103">
        <v>0.72868525896414338</v>
      </c>
    </row>
    <row r="28" spans="1:4">
      <c r="A28" s="1" t="s">
        <v>91</v>
      </c>
      <c r="C28" s="45">
        <v>0.24368169085816149</v>
      </c>
      <c r="D28" s="103">
        <v>0.22519920318725101</v>
      </c>
    </row>
    <row r="29" spans="1:4">
      <c r="A29" s="1" t="s">
        <v>92</v>
      </c>
      <c r="C29" s="45">
        <v>1.8424921483745041E-2</v>
      </c>
      <c r="D29" s="103">
        <v>0.26782868525896414</v>
      </c>
    </row>
    <row r="30" spans="1:4">
      <c r="A30" s="1" t="s">
        <v>93</v>
      </c>
      <c r="C30" s="45">
        <v>1.2820320736162232</v>
      </c>
      <c r="D30" s="103">
        <v>0.19053361471208924</v>
      </c>
    </row>
  </sheetData>
  <hyperlinks>
    <hyperlink ref="D1" r:id="rId1" xr:uid="{40DD6733-5ED5-784D-84CD-35E01DB237BC}"/>
  </hyperlinks>
  <pageMargins left="0.7" right="0.7" top="0.75" bottom="0.75" header="0.3" footer="0.3"/>
  <pageSetup paperSize="256" orientation="portrait" horizontalDpi="203" verticalDpi="203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Financial Model</vt:lpstr>
      <vt:lpstr>Historical Projections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Charlie George</cp:lastModifiedBy>
  <dcterms:created xsi:type="dcterms:W3CDTF">2022-12-29T14:38:46Z</dcterms:created>
  <dcterms:modified xsi:type="dcterms:W3CDTF">2023-02-23T23:13:03Z</dcterms:modified>
</cp:coreProperties>
</file>