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6625DF4B-E277-694F-AB79-974128A2F4E1}" xr6:coauthVersionLast="47" xr6:coauthVersionMax="47" xr10:uidLastSave="{00000000-0000-0000-0000-000000000000}"/>
  <bookViews>
    <workbookView xWindow="0" yWindow="500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3" i="1" l="1"/>
  <c r="AI23" i="1"/>
  <c r="AF23" i="1"/>
  <c r="AE23" i="1"/>
  <c r="AD23" i="1"/>
  <c r="AC23" i="1"/>
  <c r="W23" i="1"/>
  <c r="AI22" i="1" l="1"/>
  <c r="AH22" i="1"/>
  <c r="AF22" i="1"/>
  <c r="AE22" i="1"/>
  <c r="AD22" i="1"/>
  <c r="AC22" i="1"/>
  <c r="W7" i="1"/>
  <c r="W19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S19" i="1"/>
  <c r="T19" i="1"/>
  <c r="AQ52" i="1" l="1"/>
  <c r="AP52" i="1"/>
  <c r="AO52" i="1"/>
  <c r="L52" i="1"/>
  <c r="K52" i="1"/>
  <c r="I52" i="1"/>
  <c r="J52" i="1"/>
  <c r="H52" i="1"/>
  <c r="G52" i="1"/>
  <c r="F52" i="1"/>
  <c r="AQ51" i="1" l="1"/>
  <c r="AP51" i="1"/>
  <c r="AO51" i="1"/>
  <c r="L51" i="1"/>
  <c r="K51" i="1"/>
  <c r="I51" i="1"/>
  <c r="J51" i="1"/>
  <c r="H51" i="1"/>
  <c r="G51" i="1"/>
  <c r="F51" i="1"/>
  <c r="AJ19" i="1" l="1"/>
  <c r="AL11" i="1" l="1"/>
  <c r="AK11" i="1"/>
  <c r="AI11" i="1"/>
  <c r="AJ11" i="1"/>
  <c r="AH11" i="1"/>
  <c r="AL7" i="1" l="1"/>
  <c r="AK7" i="1"/>
  <c r="AJ7" i="1"/>
  <c r="AH5" i="1" l="1"/>
  <c r="AH4" i="1" l="1"/>
  <c r="AJ4" i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P22" i="1"/>
  <c r="AQ22" i="1"/>
  <c r="AO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Y19" i="1" l="1"/>
  <c r="X19" i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O23" i="1" l="1"/>
  <c r="AQ23" i="1"/>
  <c r="AP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O5" i="1"/>
  <c r="AP5" i="1"/>
  <c r="AQ5" i="1"/>
  <c r="F5" i="1"/>
  <c r="AF4" i="1" l="1"/>
  <c r="AE4" i="1"/>
  <c r="AD4" i="1"/>
  <c r="AC4" i="1"/>
  <c r="F19" i="1" l="1"/>
  <c r="AP19" i="1"/>
  <c r="AQ19" i="1"/>
  <c r="AO19" i="1"/>
  <c r="L19" i="1"/>
  <c r="K19" i="1"/>
  <c r="AQ13" i="1" l="1"/>
  <c r="AQ11" i="1"/>
  <c r="AO11" i="1"/>
  <c r="AP11" i="1"/>
  <c r="AQ4" i="1" l="1"/>
  <c r="AO4" i="1"/>
  <c r="AP4" i="1"/>
  <c r="L4" i="1" l="1"/>
  <c r="J4" i="1"/>
  <c r="I4" i="1"/>
  <c r="H4" i="1"/>
  <c r="G4" i="1"/>
  <c r="F4" i="1"/>
  <c r="K4" i="1"/>
  <c r="AP7" i="1" l="1"/>
  <c r="AQ7" i="1"/>
  <c r="AO7" i="1"/>
  <c r="J7" i="1"/>
  <c r="I7" i="1"/>
  <c r="G7" i="1"/>
  <c r="H7" i="1"/>
  <c r="F7" i="1"/>
  <c r="G58" i="1"/>
  <c r="G57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G19" i="1" l="1"/>
  <c r="Q19" i="1" l="1"/>
  <c r="H19" i="1" l="1"/>
  <c r="I19" i="1" l="1"/>
  <c r="J19" i="1"/>
  <c r="R19" i="1" l="1"/>
  <c r="N19" i="1" l="1"/>
  <c r="M19" i="1" l="1"/>
</calcChain>
</file>

<file path=xl/sharedStrings.xml><?xml version="1.0" encoding="utf-8"?>
<sst xmlns="http://schemas.openxmlformats.org/spreadsheetml/2006/main" count="236" uniqueCount="161">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</sst>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6">
          <cell r="Y26">
            <v>0.47038912615197459</v>
          </cell>
          <cell r="AH26">
            <v>0.48003319895660423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41.46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24953.074140000001</v>
          </cell>
          <cell r="G8">
            <v>2004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22964.584140000003</v>
          </cell>
        </row>
        <row r="16">
          <cell r="G16">
            <v>81.803970495189361</v>
          </cell>
        </row>
        <row r="17">
          <cell r="G17">
            <v>11.214602687937182</v>
          </cell>
        </row>
        <row r="18">
          <cell r="G18">
            <v>-26.466723449006508</v>
          </cell>
        </row>
        <row r="19">
          <cell r="G19">
            <v>10.32092020321323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0.54634994738972664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0.08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59.008797946830612</v>
          </cell>
        </row>
        <row r="30">
          <cell r="Z30">
            <v>0.19053361471208924</v>
          </cell>
        </row>
        <row r="31">
          <cell r="AW31">
            <v>0.30118628328182151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baseColWidth="10" defaultColWidth="9.1640625" defaultRowHeight="13" x14ac:dyDescent="0.15"/>
  <cols>
    <col min="1" max="16384" width="9.16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T58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3" sqref="H23"/>
    </sheetView>
  </sheetViews>
  <sheetFormatPr baseColWidth="10" defaultColWidth="9.1640625" defaultRowHeight="13" x14ac:dyDescent="0.15"/>
  <cols>
    <col min="1" max="1" width="4.33203125" style="1" customWidth="1"/>
    <col min="2" max="2" width="9.1640625" style="1"/>
    <col min="3" max="3" width="23" style="6" bestFit="1" customWidth="1"/>
    <col min="4" max="5" width="9.1640625" style="5"/>
    <col min="6" max="7" width="9.1640625" style="1"/>
    <col min="8" max="8" width="9.5" style="1" bestFit="1" customWidth="1"/>
    <col min="9" max="9" width="9.1640625" style="1"/>
    <col min="10" max="10" width="9.5" style="1" bestFit="1" customWidth="1"/>
    <col min="11" max="11" width="9.1640625" style="5"/>
    <col min="12" max="12" width="9.5" style="5" bestFit="1" customWidth="1"/>
    <col min="13" max="13" width="9.5" style="26" customWidth="1"/>
    <col min="14" max="15" width="9.5" style="27" customWidth="1"/>
    <col min="16" max="23" width="9.5" style="5" customWidth="1"/>
    <col min="24" max="27" width="9.5" style="22" customWidth="1"/>
    <col min="28" max="28" width="9.1640625" style="1"/>
    <col min="29" max="32" width="9.1640625" style="5"/>
    <col min="33" max="33" width="9.1640625" style="1"/>
    <col min="34" max="39" width="9.1640625" style="18"/>
    <col min="40" max="40" width="9.1640625" style="1"/>
    <col min="41" max="42" width="9.1640625" style="5"/>
    <col min="43" max="43" width="21" style="5" bestFit="1" customWidth="1"/>
    <col min="44" max="44" width="9.1640625" style="1"/>
    <col min="45" max="45" width="17.5" style="5" bestFit="1" customWidth="1"/>
    <col min="46" max="46" width="30" style="1" bestFit="1" customWidth="1"/>
    <col min="47" max="16384" width="9.1640625" style="1"/>
  </cols>
  <sheetData>
    <row r="1" spans="1:46" ht="15" customHeight="1" x14ac:dyDescent="0.15">
      <c r="F1" s="36" t="s">
        <v>29</v>
      </c>
      <c r="G1" s="36"/>
      <c r="H1" s="36"/>
      <c r="I1" s="36"/>
      <c r="J1" s="36"/>
      <c r="W1" s="36" t="s">
        <v>105</v>
      </c>
      <c r="X1" s="36"/>
      <c r="Y1" s="36"/>
      <c r="Z1" s="36"/>
      <c r="AA1" s="36"/>
      <c r="AB1" s="5"/>
    </row>
    <row r="2" spans="1:46" s="2" customFormat="1" x14ac:dyDescent="0.15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4" t="s">
        <v>12</v>
      </c>
      <c r="AP2" s="4" t="s">
        <v>10</v>
      </c>
      <c r="AQ2" s="4" t="s">
        <v>11</v>
      </c>
      <c r="AS2" s="4" t="s">
        <v>38</v>
      </c>
      <c r="AT2" s="4" t="s">
        <v>40</v>
      </c>
    </row>
    <row r="3" spans="1:46" x14ac:dyDescent="0.15">
      <c r="F3" s="16"/>
      <c r="I3" s="17"/>
      <c r="J3" s="17"/>
      <c r="W3" s="23"/>
      <c r="X3" s="23"/>
      <c r="Y3" s="23"/>
      <c r="Z3" s="23"/>
      <c r="AA3" s="23"/>
      <c r="AT3" s="5"/>
    </row>
    <row r="4" spans="1:46" x14ac:dyDescent="0.15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[1]Main!$C$6*F57</f>
        <v>159.1525</v>
      </c>
      <c r="G4" s="19">
        <f>[1]Main!$C$7</f>
        <v>68.916813000000005</v>
      </c>
      <c r="H4" s="17">
        <f>[1]Main!$C$8*F57</f>
        <v>10968.283080982501</v>
      </c>
      <c r="I4" s="17">
        <f>[1]Main!$C$11*F57</f>
        <v>538.24670000000003</v>
      </c>
      <c r="J4" s="17">
        <f>[1]Main!$C$12*F57</f>
        <v>10430.036380982501</v>
      </c>
      <c r="K4" s="5" t="str">
        <f>[1]Main!$C$28</f>
        <v>FQ323</v>
      </c>
      <c r="L4" s="8">
        <f>[1]Main!$D$28</f>
        <v>44901</v>
      </c>
      <c r="M4" s="26">
        <f>'[1]Financial Model'!$AU$27*F57</f>
        <v>147.7711171735871</v>
      </c>
      <c r="N4" s="31">
        <f>'[1]Financial Model'!$AU$29</f>
        <v>-7.1512435094722937E-2</v>
      </c>
      <c r="O4" s="31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3"/>
      <c r="X4" s="23">
        <f>'[1]Financial Model'!$AH$21*F57</f>
        <v>-254.69877999999997</v>
      </c>
      <c r="Y4" s="23">
        <f>'[1]Financial Model'!$AG$15*F57</f>
        <v>-173.72231999999997</v>
      </c>
      <c r="Z4" s="23"/>
      <c r="AA4" s="23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18">
        <f>'[1]Financial Model'!$Y$26</f>
        <v>0.47038912615197459</v>
      </c>
      <c r="AJ4" s="18">
        <f>'[1]Financial Model'!$AH$26</f>
        <v>0.48003319895660423</v>
      </c>
      <c r="AO4" s="5">
        <f>[1]Main!$C24</f>
        <v>2007</v>
      </c>
      <c r="AP4" s="5">
        <f>[1]Main!$C$25</f>
        <v>2017</v>
      </c>
      <c r="AQ4" s="5" t="str">
        <f>[1]Main!$C$23</f>
        <v>New York City, NY</v>
      </c>
      <c r="AS4" s="5" t="s">
        <v>47</v>
      </c>
      <c r="AT4" s="5" t="s">
        <v>39</v>
      </c>
    </row>
    <row r="5" spans="1:46" x14ac:dyDescent="0.15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[2]Main!$C$6*F57</f>
        <v>3.3365999999999993</v>
      </c>
      <c r="G5" s="17">
        <f>[2]Main!$C$7</f>
        <v>58.801357000000003</v>
      </c>
      <c r="H5" s="17">
        <f>[2]Main!$C$8*F57</f>
        <v>196.19660776619997</v>
      </c>
      <c r="I5" s="17">
        <f>[2]Main!$C$11*F57</f>
        <v>13.289129999999998</v>
      </c>
      <c r="J5" s="17">
        <f>[2]Main!$C$12*F57</f>
        <v>182.90747776619997</v>
      </c>
      <c r="K5" s="5" t="str">
        <f>[2]Main!$C$28</f>
        <v>Q322</v>
      </c>
      <c r="L5" s="8">
        <f>[2]Main!$D$28</f>
        <v>42705</v>
      </c>
      <c r="N5" s="30"/>
      <c r="O5" s="30"/>
      <c r="P5" s="8"/>
      <c r="Q5" s="21">
        <f>[2]Main!$C$34</f>
        <v>26.782399177430296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O5" s="5">
        <f>[2]Main!$C$24</f>
        <v>2010</v>
      </c>
      <c r="AP5" s="5">
        <f>[2]Main!$C$25</f>
        <v>2022</v>
      </c>
      <c r="AQ5" s="5" t="str">
        <f>[2]Main!$C$23</f>
        <v>Redwood City, CA</v>
      </c>
      <c r="AS5" s="5" t="s">
        <v>47</v>
      </c>
      <c r="AT5" s="5" t="s">
        <v>39</v>
      </c>
    </row>
    <row r="6" spans="1:46" x14ac:dyDescent="0.15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T6" s="5"/>
    </row>
    <row r="7" spans="1:46" x14ac:dyDescent="0.15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[3]Main!$C$6*$F$57</f>
        <v>61.834999999999994</v>
      </c>
      <c r="G7" s="17">
        <f>[3]Main!$C$7</f>
        <v>185.12070199999999</v>
      </c>
      <c r="H7" s="17">
        <f>[3]Main!$C$8*$F$57</f>
        <v>11446.938608169999</v>
      </c>
      <c r="I7" s="17">
        <f>[3]Main!$C$11*F57</f>
        <v>2611.5095099999994</v>
      </c>
      <c r="J7" s="17">
        <f>[3]Main!$C$12*F57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Model'!$AP$30*F57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Model'!$AC$18*F57</f>
        <v>-1042.6003499999997</v>
      </c>
      <c r="X7" s="23">
        <f>'[3]Financial Model'!$AB$18*$F$57</f>
        <v>-788.41700000000003</v>
      </c>
      <c r="Y7" s="23">
        <f>'[3]Financial Model'!$AA$18*$F$57</f>
        <v>-407.51256999999981</v>
      </c>
      <c r="Z7" s="23">
        <f>'[3]Financial Model'!$Z$18*$F$57</f>
        <v>-254.86228999999994</v>
      </c>
      <c r="AA7" s="23">
        <f>'[3]Financial Model'!$Y$18*F57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5">
        <f>[3]Main!$C$24</f>
        <v>2008</v>
      </c>
      <c r="AP7" s="5">
        <f>[3]Main!$C$25</f>
        <v>2016</v>
      </c>
      <c r="AQ7" s="5" t="str">
        <f>[3]Main!$C$23</f>
        <v>San Francisco, CA</v>
      </c>
      <c r="AS7" s="5" t="s">
        <v>47</v>
      </c>
      <c r="AT7" s="5" t="s">
        <v>43</v>
      </c>
    </row>
    <row r="8" spans="1:46" x14ac:dyDescent="0.15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T8" s="5"/>
    </row>
    <row r="9" spans="1:46" x14ac:dyDescent="0.15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S9" s="5" t="s">
        <v>15</v>
      </c>
      <c r="AT9" s="5" t="s">
        <v>44</v>
      </c>
    </row>
    <row r="10" spans="1:46" x14ac:dyDescent="0.15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S10" s="5" t="s">
        <v>15</v>
      </c>
      <c r="AT10" s="5" t="s">
        <v>45</v>
      </c>
    </row>
    <row r="11" spans="1:46" x14ac:dyDescent="0.15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-0.14975928489791379</v>
      </c>
      <c r="O11" s="31">
        <f>'[4]Financial Model'!$AH$18</f>
        <v>0.06</v>
      </c>
      <c r="P11" s="20"/>
      <c r="Q11" s="21">
        <f>[4]Main!$C$34</f>
        <v>5.5155555555555553</v>
      </c>
      <c r="R11" s="21">
        <f>[4]Main!$C$33</f>
        <v>3.9008320493066257</v>
      </c>
      <c r="S11" s="21">
        <f>[4]Main!$C$35</f>
        <v>4.2752542372881353</v>
      </c>
      <c r="T11" s="21">
        <f>[4]Main!$C$32</f>
        <v>29.901259842519682</v>
      </c>
      <c r="U11" s="21">
        <f>[4]Main!$C$36</f>
        <v>32.771338582677167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5">
        <f>[4]Main!$C$24</f>
        <v>1981</v>
      </c>
      <c r="AP11" s="5">
        <f>[4]Main!$C$25</f>
        <v>1989</v>
      </c>
      <c r="AQ11" s="5" t="str">
        <f>[4]Main!$C$23</f>
        <v>Newcastle, UK</v>
      </c>
      <c r="AS11" s="5" t="s">
        <v>15</v>
      </c>
      <c r="AT11" s="5" t="s">
        <v>46</v>
      </c>
    </row>
    <row r="12" spans="1:46" x14ac:dyDescent="0.15">
      <c r="B12" s="7"/>
      <c r="F12" s="16"/>
      <c r="W12" s="22"/>
      <c r="AT12" s="5"/>
    </row>
    <row r="13" spans="1:46" x14ac:dyDescent="0.15">
      <c r="B13" s="1" t="s">
        <v>76</v>
      </c>
      <c r="C13" s="6" t="s">
        <v>77</v>
      </c>
      <c r="D13" s="5" t="s">
        <v>33</v>
      </c>
      <c r="E13" s="5" t="s">
        <v>17</v>
      </c>
      <c r="W13" s="22"/>
      <c r="AO13" s="5">
        <v>2002</v>
      </c>
      <c r="AP13" s="5">
        <v>2015</v>
      </c>
      <c r="AQ13" s="5" t="str">
        <f>[3]Main!$C$23</f>
        <v>San Francisco, CA</v>
      </c>
      <c r="AS13" s="5" t="s">
        <v>78</v>
      </c>
      <c r="AT13" s="5" t="s">
        <v>79</v>
      </c>
    </row>
    <row r="14" spans="1:46" x14ac:dyDescent="0.15">
      <c r="W14" s="22"/>
    </row>
    <row r="15" spans="1:46" x14ac:dyDescent="0.15">
      <c r="B15" s="1" t="s">
        <v>48</v>
      </c>
      <c r="C15" s="6" t="s">
        <v>49</v>
      </c>
      <c r="D15" s="5" t="s">
        <v>30</v>
      </c>
      <c r="E15" s="5" t="s">
        <v>17</v>
      </c>
      <c r="W15" s="22"/>
      <c r="AS15" s="5" t="s">
        <v>50</v>
      </c>
      <c r="AT15" s="5" t="s">
        <v>51</v>
      </c>
    </row>
    <row r="16" spans="1:46" x14ac:dyDescent="0.15">
      <c r="B16" s="1" t="s">
        <v>63</v>
      </c>
      <c r="C16" s="6" t="s">
        <v>64</v>
      </c>
      <c r="D16" s="5" t="s">
        <v>33</v>
      </c>
      <c r="E16" s="5" t="s">
        <v>17</v>
      </c>
      <c r="W16" s="22"/>
      <c r="AS16" s="5" t="s">
        <v>50</v>
      </c>
      <c r="AT16" s="5" t="s">
        <v>65</v>
      </c>
    </row>
    <row r="17" spans="2:46" x14ac:dyDescent="0.15">
      <c r="W17" s="22"/>
    </row>
    <row r="18" spans="2:46" x14ac:dyDescent="0.15">
      <c r="W18" s="22"/>
    </row>
    <row r="19" spans="2:46" x14ac:dyDescent="0.15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[5]Main!$C$6*F57</f>
        <v>34.411799999999999</v>
      </c>
      <c r="G19" s="17">
        <f>[5]Main!$C$7</f>
        <v>601.85900000000004</v>
      </c>
      <c r="H19" s="17">
        <f>[5]Main!$C$8*F57</f>
        <v>20711.051536200001</v>
      </c>
      <c r="I19" s="17">
        <f>[5]Main!$C$11*F57</f>
        <v>1650.4467000000002</v>
      </c>
      <c r="J19" s="17">
        <f>[5]Main!$C$12*F57</f>
        <v>19060.6048362</v>
      </c>
      <c r="K19" s="5" t="str">
        <f>[5]Main!$G$11</f>
        <v>Q422</v>
      </c>
      <c r="L19" s="8">
        <f>[5]Main!$H$11</f>
        <v>42036</v>
      </c>
      <c r="M19" s="26">
        <f>'[5]Financial Model'!$AP$26*F57</f>
        <v>53.212685119585799</v>
      </c>
      <c r="N19" s="31">
        <f>'[5]Financial Model'!$AP$28</f>
        <v>0.54634994738972664</v>
      </c>
      <c r="O19" s="31">
        <f>'[5]Financial Model'!$AP$22</f>
        <v>0.09</v>
      </c>
      <c r="Q19" s="21">
        <f>[5]Main!$G$16</f>
        <v>81.803970495189361</v>
      </c>
      <c r="R19" s="21">
        <f>[5]Main!$G$17</f>
        <v>11.214602687937182</v>
      </c>
      <c r="S19" s="21">
        <f>[5]Main!$G$19</f>
        <v>10.32092020321323</v>
      </c>
      <c r="T19" s="21">
        <f>[5]Main!$G$18</f>
        <v>-26.466723449006508</v>
      </c>
      <c r="W19" s="23">
        <f>'[5]Financial Model'!$X$18*F57</f>
        <v>-775.78689000000008</v>
      </c>
      <c r="X19" s="24">
        <f>'[5]Financial Model'!$W$18*F57</f>
        <v>-417.89669999999995</v>
      </c>
      <c r="Y19" s="24">
        <f>'[5]Financial Model'!$V$18*F57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5">
        <f>[5]Main!$G$8</f>
        <v>2004</v>
      </c>
      <c r="AP19" s="5">
        <f>[5]Main!$G$7</f>
        <v>2021</v>
      </c>
      <c r="AQ19" s="5" t="str">
        <f>[5]Main!$G$6</f>
        <v>San Mateo, CA</v>
      </c>
      <c r="AS19" s="5" t="s">
        <v>60</v>
      </c>
      <c r="AT19" s="5" t="s">
        <v>62</v>
      </c>
    </row>
    <row r="20" spans="2:46" x14ac:dyDescent="0.15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[6]Main!$C$6*F57</f>
        <v>27.7469</v>
      </c>
      <c r="G20" s="17">
        <f>[6]Main!$C$7</f>
        <v>296.01300300000003</v>
      </c>
      <c r="H20" s="17">
        <f>[6]Main!$C$8*F57</f>
        <v>8213.4431929407001</v>
      </c>
      <c r="I20" s="19">
        <f>[6]Main!$C$11*F57</f>
        <v>-436.42229999999995</v>
      </c>
      <c r="J20" s="17">
        <f>[6]Main!$C$12*F57</f>
        <v>8649.8654929407003</v>
      </c>
      <c r="K20" s="25" t="str">
        <f>[6]Main!$C$26</f>
        <v>Q122</v>
      </c>
      <c r="L20" s="25">
        <f>[6]Main!$D$26</f>
        <v>0</v>
      </c>
      <c r="W20" s="22"/>
      <c r="AS20" s="5" t="s">
        <v>60</v>
      </c>
      <c r="AT20" s="5" t="s">
        <v>61</v>
      </c>
    </row>
    <row r="21" spans="2:46" x14ac:dyDescent="0.15">
      <c r="W21" s="22"/>
    </row>
    <row r="22" spans="2:46" x14ac:dyDescent="0.15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[7]Main!$C$6*$F$57</f>
        <v>40.006</v>
      </c>
      <c r="G22" s="17">
        <f>[7]Main!$C$7</f>
        <v>1273.338804</v>
      </c>
      <c r="H22" s="17">
        <f>[7]Main!$C$8*F57</f>
        <v>50941.192192823997</v>
      </c>
      <c r="I22" s="17">
        <f>[7]Main!$C$11*F57</f>
        <v>3435.8995399999999</v>
      </c>
      <c r="J22" s="17">
        <f>[7]Main!$C$12*F57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Model'!$AC$20*F57</f>
        <v>-2872.1469399999992</v>
      </c>
      <c r="X22" s="24">
        <f>'[7]Financial Model'!$AB$20*F57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O22" s="5">
        <f>[7]Main!$C$24</f>
        <v>2004</v>
      </c>
      <c r="AP22" s="5">
        <f>[7]Main!$C$25</f>
        <v>2015</v>
      </c>
      <c r="AQ22" s="5" t="str">
        <f>[7]Main!$C$23</f>
        <v>Ottowa, Canada</v>
      </c>
      <c r="AS22" s="5" t="s">
        <v>84</v>
      </c>
      <c r="AT22" s="5" t="s">
        <v>142</v>
      </c>
    </row>
    <row r="23" spans="2:46" x14ac:dyDescent="0.15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[8]Main!$C$6*F57</f>
        <v>37.640499999999996</v>
      </c>
      <c r="G23" s="19">
        <f>[8]Main!$C$7</f>
        <v>541</v>
      </c>
      <c r="H23" s="17">
        <f>[8]Main!$C$8*F57</f>
        <v>20363.5105</v>
      </c>
      <c r="I23" s="17">
        <f>[8]Main!$C$11*F57</f>
        <v>-3396.3599999999997</v>
      </c>
      <c r="J23" s="17">
        <f>[8]Main!$C$12*F57</f>
        <v>23759.870500000001</v>
      </c>
      <c r="K23" s="37" t="str">
        <f>[8]Main!$C$28</f>
        <v>Q422</v>
      </c>
      <c r="L23" s="38">
        <f>[8]Main!$D$28</f>
        <v>44593</v>
      </c>
      <c r="M23" s="26">
        <f>'[8]Financial Model'!$AW$29*$F$57</f>
        <v>48.977302295869407</v>
      </c>
      <c r="N23" s="31">
        <f>'[8]Financial Model'!$AW$31</f>
        <v>0.30118628328182151</v>
      </c>
      <c r="O23" s="31">
        <f>'[8]Financial Model'!$AW$25</f>
        <v>0.08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Model'!$AJ$20*F57</f>
        <v>-1053.0625</v>
      </c>
      <c r="X23" s="24">
        <f>'[8]Financial Model'!$AE$20*F57</f>
        <v>-1118.01</v>
      </c>
      <c r="Y23" s="24">
        <f>'[8]Financial Model'!$AD$20*F57</f>
        <v>6030.78</v>
      </c>
      <c r="Z23" s="24">
        <f>'[8]Financial Model'!$AC$20*F57</f>
        <v>1431.75</v>
      </c>
      <c r="AA23" s="24">
        <f>'[8]Financial Model'!$AC$20*G57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5">
        <f>[8]Main!$C$24</f>
        <v>1995</v>
      </c>
      <c r="AP23" s="5">
        <f>[8]Main!$C$25</f>
        <v>1998</v>
      </c>
      <c r="AQ23" s="5" t="str">
        <f>[8]Main!$C$23</f>
        <v>San Jose, CA</v>
      </c>
      <c r="AS23" s="5" t="s">
        <v>84</v>
      </c>
      <c r="AT23" s="5" t="s">
        <v>86</v>
      </c>
    </row>
    <row r="24" spans="2:46" x14ac:dyDescent="0.15">
      <c r="B24" s="1" t="s">
        <v>83</v>
      </c>
      <c r="C24" s="6" t="s">
        <v>138</v>
      </c>
      <c r="D24" s="5" t="s">
        <v>33</v>
      </c>
      <c r="E24" s="5" t="s">
        <v>17</v>
      </c>
      <c r="W24" s="22"/>
      <c r="AS24" s="5" t="s">
        <v>84</v>
      </c>
      <c r="AT24" s="5" t="s">
        <v>118</v>
      </c>
    </row>
    <row r="25" spans="2:46" x14ac:dyDescent="0.15">
      <c r="B25" s="1" t="s">
        <v>89</v>
      </c>
      <c r="C25" s="6" t="s">
        <v>90</v>
      </c>
      <c r="D25" s="5" t="s">
        <v>33</v>
      </c>
      <c r="E25" s="5" t="s">
        <v>17</v>
      </c>
      <c r="W25" s="22"/>
      <c r="AS25" s="5" t="s">
        <v>84</v>
      </c>
      <c r="AT25" s="5"/>
    </row>
    <row r="26" spans="2:46" x14ac:dyDescent="0.15">
      <c r="B26" s="1" t="s">
        <v>91</v>
      </c>
      <c r="C26" s="6" t="s">
        <v>92</v>
      </c>
      <c r="D26" s="5" t="s">
        <v>30</v>
      </c>
      <c r="W26" s="22"/>
      <c r="AS26" s="5" t="s">
        <v>84</v>
      </c>
      <c r="AT26" s="5"/>
    </row>
    <row r="27" spans="2:46" x14ac:dyDescent="0.15">
      <c r="B27" s="1" t="s">
        <v>93</v>
      </c>
      <c r="C27" s="6" t="s">
        <v>94</v>
      </c>
      <c r="D27" s="5" t="s">
        <v>33</v>
      </c>
      <c r="W27" s="22"/>
      <c r="AT27" s="5"/>
    </row>
    <row r="28" spans="2:46" x14ac:dyDescent="0.15">
      <c r="W28" s="22"/>
    </row>
    <row r="29" spans="2:46" x14ac:dyDescent="0.15">
      <c r="W29" s="22"/>
    </row>
    <row r="30" spans="2:46" x14ac:dyDescent="0.15">
      <c r="B30" s="1" t="s">
        <v>66</v>
      </c>
      <c r="C30" s="6" t="s">
        <v>67</v>
      </c>
      <c r="D30" s="5" t="s">
        <v>31</v>
      </c>
      <c r="E30" s="5" t="s">
        <v>16</v>
      </c>
      <c r="W30" s="22"/>
      <c r="AS30" s="5" t="s">
        <v>70</v>
      </c>
    </row>
    <row r="31" spans="2:46" x14ac:dyDescent="0.15">
      <c r="B31" s="1" t="s">
        <v>68</v>
      </c>
      <c r="C31" s="6" t="s">
        <v>69</v>
      </c>
      <c r="D31" s="5" t="s">
        <v>33</v>
      </c>
      <c r="E31" s="5" t="s">
        <v>17</v>
      </c>
      <c r="W31" s="22"/>
      <c r="AS31" s="5" t="s">
        <v>70</v>
      </c>
    </row>
    <row r="32" spans="2:46" x14ac:dyDescent="0.15">
      <c r="W32" s="22"/>
    </row>
    <row r="33" spans="2:46" x14ac:dyDescent="0.15">
      <c r="W33" s="22"/>
    </row>
    <row r="34" spans="2:46" x14ac:dyDescent="0.15">
      <c r="B34" s="1" t="s">
        <v>106</v>
      </c>
      <c r="C34" s="6" t="s">
        <v>107</v>
      </c>
      <c r="D34" s="5" t="s">
        <v>30</v>
      </c>
      <c r="W34" s="22"/>
      <c r="AS34" s="5" t="s">
        <v>84</v>
      </c>
      <c r="AT34" s="5" t="s">
        <v>112</v>
      </c>
    </row>
    <row r="35" spans="2:46" x14ac:dyDescent="0.15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S35" s="5" t="s">
        <v>84</v>
      </c>
      <c r="AT35" s="5" t="s">
        <v>112</v>
      </c>
    </row>
    <row r="36" spans="2:46" x14ac:dyDescent="0.15">
      <c r="B36" s="1" t="s">
        <v>110</v>
      </c>
      <c r="C36" s="6" t="s">
        <v>111</v>
      </c>
      <c r="D36" s="5" t="s">
        <v>30</v>
      </c>
      <c r="W36" s="22"/>
      <c r="AS36" s="5" t="s">
        <v>84</v>
      </c>
      <c r="AT36" s="5" t="s">
        <v>112</v>
      </c>
    </row>
    <row r="37" spans="2:46" x14ac:dyDescent="0.15">
      <c r="W37" s="22"/>
    </row>
    <row r="38" spans="2:46" x14ac:dyDescent="0.15">
      <c r="W38" s="22"/>
    </row>
    <row r="39" spans="2:46" x14ac:dyDescent="0.15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O39" s="5">
        <v>2007</v>
      </c>
      <c r="AP39" s="5">
        <v>2021</v>
      </c>
      <c r="AQ39" s="5" t="s">
        <v>117</v>
      </c>
      <c r="AS39" s="5" t="s">
        <v>116</v>
      </c>
      <c r="AT39" s="5" t="s">
        <v>115</v>
      </c>
    </row>
    <row r="40" spans="2:46" x14ac:dyDescent="0.15">
      <c r="G40" s="19"/>
      <c r="H40" s="17"/>
      <c r="W40" s="22"/>
      <c r="AT40" s="5"/>
    </row>
    <row r="41" spans="2:46" x14ac:dyDescent="0.15">
      <c r="G41" s="19"/>
      <c r="H41" s="17"/>
      <c r="W41" s="22"/>
      <c r="AT41" s="5"/>
    </row>
    <row r="42" spans="2:46" x14ac:dyDescent="0.15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332.82*F57</f>
        <v>276.24059999999997</v>
      </c>
      <c r="G42" s="19">
        <v>445.02</v>
      </c>
      <c r="H42" s="17">
        <f>G42*F42</f>
        <v>122932.59181199998</v>
      </c>
      <c r="W42" s="22"/>
      <c r="AS42" s="5" t="s">
        <v>126</v>
      </c>
      <c r="AT42" s="5" t="s">
        <v>124</v>
      </c>
    </row>
    <row r="43" spans="2:46" x14ac:dyDescent="0.15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92.06*F57</f>
        <v>76.409800000000004</v>
      </c>
      <c r="G43" s="19">
        <v>193.13</v>
      </c>
      <c r="H43" s="17">
        <f>G43*F43</f>
        <v>14757.024674</v>
      </c>
      <c r="W43" s="22"/>
      <c r="AS43" s="5" t="s">
        <v>126</v>
      </c>
      <c r="AT43" s="5" t="s">
        <v>125</v>
      </c>
    </row>
    <row r="44" spans="2:46" x14ac:dyDescent="0.15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S44" s="5" t="s">
        <v>136</v>
      </c>
      <c r="AT44" s="5" t="s">
        <v>137</v>
      </c>
    </row>
    <row r="45" spans="2:46" x14ac:dyDescent="0.15">
      <c r="G45" s="19"/>
      <c r="H45" s="17"/>
      <c r="W45" s="22"/>
      <c r="AT45" s="5"/>
    </row>
    <row r="46" spans="2:46" x14ac:dyDescent="0.15">
      <c r="B46" s="1" t="s">
        <v>130</v>
      </c>
      <c r="C46" s="6" t="s">
        <v>128</v>
      </c>
      <c r="G46" s="19"/>
      <c r="H46" s="17"/>
      <c r="W46" s="22"/>
      <c r="AT46" s="5"/>
    </row>
    <row r="47" spans="2:46" x14ac:dyDescent="0.15">
      <c r="B47" s="1" t="s">
        <v>131</v>
      </c>
      <c r="C47" s="6" t="s">
        <v>127</v>
      </c>
      <c r="G47" s="19"/>
      <c r="H47" s="17"/>
      <c r="W47" s="22"/>
      <c r="AT47" s="5"/>
    </row>
    <row r="48" spans="2:46" x14ac:dyDescent="0.15">
      <c r="B48" s="1" t="s">
        <v>132</v>
      </c>
      <c r="C48" s="6" t="s">
        <v>129</v>
      </c>
      <c r="G48" s="19"/>
      <c r="H48" s="17"/>
      <c r="W48" s="22"/>
      <c r="AT48" s="5"/>
    </row>
    <row r="49" spans="2:46" x14ac:dyDescent="0.15">
      <c r="G49" s="19"/>
      <c r="H49" s="17"/>
      <c r="W49" s="22"/>
      <c r="AT49" s="5"/>
    </row>
    <row r="50" spans="2:46" x14ac:dyDescent="0.15">
      <c r="G50" s="19"/>
      <c r="H50" s="17"/>
      <c r="W50" s="22"/>
      <c r="AT50" s="5"/>
    </row>
    <row r="51" spans="2:46" x14ac:dyDescent="0.15">
      <c r="B51" s="7" t="s">
        <v>150</v>
      </c>
      <c r="C51" s="6" t="s">
        <v>154</v>
      </c>
      <c r="D51" s="5" t="s">
        <v>33</v>
      </c>
      <c r="E51" s="5" t="s">
        <v>17</v>
      </c>
      <c r="F51" s="16">
        <f>[9]Main!$C$6*$F$57</f>
        <v>213.21039999999999</v>
      </c>
      <c r="G51" s="33">
        <f>[9]Main!$C$7</f>
        <v>7440</v>
      </c>
      <c r="H51" s="33">
        <f>[9]Main!$C$12*$F$57</f>
        <v>1586285.3759999999</v>
      </c>
      <c r="I51" s="33">
        <f>[9]Main!$C$11*$F$57</f>
        <v>0</v>
      </c>
      <c r="J51" s="33">
        <f>[9]Main!$C$12*$F$57</f>
        <v>1586285.3759999999</v>
      </c>
      <c r="K51" s="5">
        <f>[9]Main!$C$29</f>
        <v>0</v>
      </c>
      <c r="L51" s="5">
        <f>[9]Main!$D$29</f>
        <v>0</v>
      </c>
      <c r="W51" s="22"/>
      <c r="AO51" s="5">
        <f>[9]Main!$C$24</f>
        <v>1975</v>
      </c>
      <c r="AP51" s="5">
        <f>[9]Main!$C$25</f>
        <v>1986</v>
      </c>
      <c r="AQ51" s="5" t="str">
        <f>[9]Main!$C$23</f>
        <v>Redmond, WA</v>
      </c>
      <c r="AS51" s="5" t="s">
        <v>156</v>
      </c>
      <c r="AT51" s="5" t="s">
        <v>155</v>
      </c>
    </row>
    <row r="52" spans="2:46" x14ac:dyDescent="0.15">
      <c r="B52" s="7" t="s">
        <v>151</v>
      </c>
      <c r="C52" s="6" t="s">
        <v>160</v>
      </c>
      <c r="D52" s="5" t="s">
        <v>33</v>
      </c>
      <c r="E52" s="5" t="s">
        <v>17</v>
      </c>
      <c r="F52" s="16">
        <f>[10]Main!$C$6*$F$57</f>
        <v>79.231799999999993</v>
      </c>
      <c r="G52" s="33">
        <f>[10]Main!$C$7</f>
        <v>13523</v>
      </c>
      <c r="H52" s="33">
        <f>[10]Main!$C$8*$F$57</f>
        <v>1071451.6313999998</v>
      </c>
      <c r="I52" s="33">
        <f>[10]Main!$C$11*$F$57</f>
        <v>0</v>
      </c>
      <c r="J52" s="33">
        <f>[10]Main!$C$12*$F$57</f>
        <v>1071451.6313999998</v>
      </c>
      <c r="K52" s="5">
        <f>[10]Main!$C$28</f>
        <v>0</v>
      </c>
      <c r="L52" s="5">
        <f>[10]Main!$D$28</f>
        <v>0</v>
      </c>
      <c r="W52" s="22"/>
      <c r="AO52" s="5">
        <f>[10]Main!$C$24</f>
        <v>1998</v>
      </c>
      <c r="AP52" s="5">
        <f>[10]Main!$C$25</f>
        <v>2004</v>
      </c>
      <c r="AQ52" s="5" t="str">
        <f>[10]Main!$C$23</f>
        <v>Mountain View, CA</v>
      </c>
      <c r="AS52" s="5" t="s">
        <v>156</v>
      </c>
      <c r="AT52" s="5" t="s">
        <v>158</v>
      </c>
    </row>
    <row r="53" spans="2:46" x14ac:dyDescent="0.15">
      <c r="B53" s="1" t="s">
        <v>152</v>
      </c>
      <c r="E53" s="5" t="s">
        <v>17</v>
      </c>
      <c r="AS53" s="5" t="s">
        <v>116</v>
      </c>
      <c r="AT53" s="5" t="s">
        <v>157</v>
      </c>
    </row>
    <row r="54" spans="2:46" x14ac:dyDescent="0.15">
      <c r="B54" s="1" t="s">
        <v>153</v>
      </c>
      <c r="E54" s="5" t="s">
        <v>17</v>
      </c>
      <c r="AS54" s="5" t="s">
        <v>156</v>
      </c>
      <c r="AT54" s="5" t="s">
        <v>159</v>
      </c>
    </row>
    <row r="56" spans="2:46" x14ac:dyDescent="0.15">
      <c r="E56" s="34" t="s">
        <v>25</v>
      </c>
      <c r="F56" s="35"/>
      <c r="G56" s="9" t="s">
        <v>26</v>
      </c>
    </row>
    <row r="57" spans="2:46" x14ac:dyDescent="0.15">
      <c r="E57" s="10" t="s">
        <v>27</v>
      </c>
      <c r="F57" s="11">
        <v>0.83</v>
      </c>
      <c r="G57" s="12">
        <f>1/F57</f>
        <v>1.2048192771084338</v>
      </c>
    </row>
    <row r="58" spans="2:46" x14ac:dyDescent="0.15">
      <c r="E58" s="13" t="s">
        <v>28</v>
      </c>
      <c r="F58" s="14">
        <v>0.87</v>
      </c>
      <c r="G58" s="15">
        <f>1/F58</f>
        <v>1.1494252873563218</v>
      </c>
    </row>
  </sheetData>
  <mergeCells count="3">
    <mergeCell ref="E56:F56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1" r:id="rId9" xr:uid="{46DC7469-9CFC-4610-A22B-3D4E075DFC99}"/>
    <hyperlink ref="B52" r:id="rId10" xr:uid="{1F04985A-EB8E-4ED3-BC5F-B6E427A61566}"/>
  </hyperlinks>
  <pageMargins left="0.7" right="0.7" top="0.75" bottom="0.75" header="0.3" footer="0.3"/>
  <pageSetup paperSize="256" orientation="portrait" horizontalDpi="203" verticalDpi="203" r:id="rId11"/>
  <ignoredErrors>
    <ignoredError sqref="I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1" style="1" bestFit="1" customWidth="1"/>
    <col min="4" max="8" width="9.1640625" style="1"/>
    <col min="9" max="9" width="11" style="1" bestFit="1" customWidth="1"/>
    <col min="10" max="10" width="16.33203125" style="1" bestFit="1" customWidth="1"/>
    <col min="11" max="11" width="37.33203125" style="1" bestFit="1" customWidth="1"/>
    <col min="12" max="12" width="11.5" style="5" bestFit="1" customWidth="1"/>
    <col min="13" max="13" width="11" style="5" bestFit="1" customWidth="1"/>
    <col min="14" max="16384" width="9.1640625" style="1"/>
  </cols>
  <sheetData>
    <row r="2" spans="1:13" s="2" customFormat="1" x14ac:dyDescent="0.15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15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15">
      <c r="C5" s="5"/>
      <c r="D5" s="5"/>
    </row>
    <row r="6" spans="1:13" x14ac:dyDescent="0.15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2022-12-01T12:05:23Z</dcterms:created>
  <dcterms:modified xsi:type="dcterms:W3CDTF">2023-02-23T23:12:41Z</dcterms:modified>
</cp:coreProperties>
</file>