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E6988D5-29D7-4515-A651-AE19DF18AABF}" xr6:coauthVersionLast="36" xr6:coauthVersionMax="47" xr10:uidLastSave="{00000000-0000-0000-0000-000000000000}"/>
  <bookViews>
    <workbookView xWindow="4665" yWindow="495" windowWidth="2764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3" i="1" l="1"/>
  <c r="AJ23" i="1"/>
  <c r="I23" i="1"/>
  <c r="G23" i="1"/>
  <c r="F23" i="1"/>
  <c r="S16" i="1" l="1"/>
  <c r="R16" i="1"/>
  <c r="AF16" i="1"/>
  <c r="AG16" i="1"/>
  <c r="V16" i="1" l="1"/>
  <c r="P16" i="1"/>
  <c r="O16" i="1"/>
  <c r="AE16" i="1"/>
  <c r="Y16" i="1"/>
  <c r="AB12" i="1"/>
  <c r="AB15" i="1"/>
  <c r="AJ16" i="1"/>
  <c r="AI16" i="1"/>
  <c r="K16" i="1"/>
  <c r="J16" i="1"/>
  <c r="F16" i="1"/>
  <c r="AE8" i="1" l="1"/>
  <c r="AF8" i="1" l="1"/>
  <c r="AB8" i="1"/>
  <c r="AA8" i="1"/>
  <c r="Z8" i="1"/>
  <c r="Y8" i="1"/>
  <c r="K8" i="1"/>
  <c r="AF12" i="1" l="1"/>
  <c r="AE12" i="1"/>
  <c r="AD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I13" i="1" l="1"/>
  <c r="AJ13" i="1"/>
  <c r="F13" i="1"/>
  <c r="H13" i="1"/>
  <c r="I13" i="1" l="1"/>
  <c r="F12" i="1"/>
  <c r="J11" i="1" l="1"/>
  <c r="AI11" i="1" l="1"/>
  <c r="AJ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I3" i="1"/>
  <c r="AJ3" i="1"/>
  <c r="V14" i="1" l="1"/>
  <c r="AB14" i="1" l="1"/>
  <c r="AA14" i="1"/>
  <c r="Z14" i="1"/>
  <c r="Y14" i="1"/>
  <c r="AD7" i="1"/>
  <c r="AE14" i="1"/>
  <c r="J14" i="1" l="1"/>
  <c r="AH7" i="1"/>
  <c r="AJ7" i="1"/>
  <c r="AI7" i="1"/>
  <c r="I7" i="1" l="1"/>
  <c r="H7" i="1"/>
  <c r="G7" i="1"/>
  <c r="F7" i="1"/>
  <c r="AE4" i="1"/>
  <c r="Z4" i="1" l="1"/>
  <c r="Y4" i="1"/>
  <c r="AB4" i="1" l="1"/>
  <c r="AJ14" i="1"/>
  <c r="AI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J10" i="1" l="1"/>
  <c r="AH10" i="1"/>
  <c r="AI10" i="1"/>
  <c r="AB10" i="1"/>
  <c r="AA10" i="1"/>
  <c r="Z10" i="1"/>
  <c r="Y10" i="1"/>
  <c r="J10" i="1"/>
  <c r="F10" i="1" l="1"/>
  <c r="L4" i="1" l="1"/>
  <c r="R4" i="1"/>
  <c r="V4" i="1"/>
  <c r="T4" i="1"/>
  <c r="AH4" i="1" l="1"/>
  <c r="AJ4" i="1"/>
  <c r="AI4" i="1"/>
  <c r="J4" i="1"/>
  <c r="I4" i="1"/>
  <c r="H4" i="1"/>
  <c r="G4" i="1"/>
  <c r="F4" i="1"/>
  <c r="AH5" i="1" l="1"/>
  <c r="AJ5" i="1"/>
  <c r="AI5" i="1"/>
  <c r="AJ15" i="1" l="1"/>
  <c r="AI15" i="1"/>
  <c r="AJ8" i="1" l="1"/>
  <c r="AI8" i="1"/>
  <c r="AJ6" i="1" l="1"/>
  <c r="AI6" i="1"/>
  <c r="AH6" i="1"/>
  <c r="AI12" i="1" l="1"/>
  <c r="AJ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l="1"/>
  <c r="W12" i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AE1" i="1" s="1"/>
  <c r="U15" i="1"/>
  <c r="T15" i="1" l="1"/>
  <c r="Z15" i="1"/>
  <c r="AA15" i="1" l="1"/>
  <c r="N15" i="1"/>
  <c r="R15" i="1" l="1"/>
  <c r="X15" i="1" l="1"/>
  <c r="X1" i="1" s="1"/>
  <c r="W15" i="1"/>
  <c r="W1" i="1" s="1"/>
  <c r="V15" i="1"/>
  <c r="V1" i="1" s="1"/>
  <c r="Y15" i="1"/>
  <c r="Y1" i="1" s="1"/>
  <c r="G15" i="1"/>
  <c r="H15" i="1" l="1"/>
  <c r="O15" i="1" l="1"/>
  <c r="Q15" i="1"/>
  <c r="I15" i="1"/>
  <c r="S15" i="1" l="1"/>
  <c r="P15" i="1"/>
  <c r="L15" i="1"/>
  <c r="AD8" i="1" l="1"/>
  <c r="H8" i="1" l="1"/>
  <c r="T8" i="1" l="1"/>
  <c r="R8" i="1" l="1"/>
  <c r="R1" i="1" s="1"/>
  <c r="G8" i="1" l="1"/>
  <c r="I8" i="1"/>
  <c r="L8" i="1" l="1"/>
  <c r="S8" i="1" l="1"/>
  <c r="S1" i="1" s="1"/>
  <c r="G11" i="1" l="1"/>
  <c r="H11" i="1"/>
  <c r="I11" i="1" l="1"/>
  <c r="AD16" i="1"/>
  <c r="T16" i="1" l="1"/>
  <c r="T1" i="1" s="1"/>
  <c r="H16" i="1" l="1"/>
  <c r="G16" i="1" l="1"/>
  <c r="I16" i="1" l="1"/>
  <c r="L16" i="1"/>
  <c r="Z16" i="1"/>
  <c r="Z1" i="1" s="1"/>
  <c r="AB16" i="1" l="1"/>
  <c r="AB1" i="1" s="1"/>
  <c r="AA16" i="1" l="1"/>
  <c r="AA1" i="1" s="1"/>
</calcChain>
</file>

<file path=xl/sharedStrings.xml><?xml version="1.0" encoding="utf-8"?>
<sst xmlns="http://schemas.openxmlformats.org/spreadsheetml/2006/main" count="855" uniqueCount="544">
  <si>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</si>
  <si>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</si>
  <si>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</si>
  <si>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</si>
  <si>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</si>
  <si>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</si>
  <si>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</si>
  <si>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</si>
  <si>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</si>
  <si>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</si>
  <si>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</si>
  <si>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</si>
  <si>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</si>
  <si>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</si>
  <si>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</si>
  <si>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</si>
  <si>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</si>
  <si>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</si>
  <si>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</si>
  <si>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</si>
  <si>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</si>
  <si>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</si>
  <si>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</si>
  <si>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</si>
  <si>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</si>
  <si>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</si>
  <si>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</si>
  <si>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</si>
  <si>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</si>
  <si>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</si>
  <si>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</si>
  <si>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</si>
  <si>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</si>
  <si>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</si>
  <si>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</si>
  <si>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</si>
  <si>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</si>
  <si>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</si>
  <si>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</si>
  <si>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</si>
  <si>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</si>
  <si>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</si>
  <si>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</si>
  <si>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</si>
  <si>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</si>
  <si>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</si>
  <si>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</si>
  <si>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</si>
  <si>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</si>
  <si>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</si>
  <si>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</si>
  <si>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</si>
  <si>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</si>
  <si>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</si>
  <si>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</si>
  <si>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</si>
  <si>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</si>
  <si>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</si>
  <si>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</si>
  <si>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</si>
  <si>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</si>
  <si>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</si>
  <si>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</si>
  <si>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</si>
  <si>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</si>
  <si>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</si>
  <si>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</si>
  <si>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</si>
  <si>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</si>
  <si>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</si>
  <si>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</si>
  <si>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</si>
  <si>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</si>
  <si>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</si>
  <si>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</si>
  <si>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</si>
  <si>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</si>
  <si>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</si>
  <si>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</si>
  <si>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</si>
  <si>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</si>
  <si>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</si>
  <si>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</si>
  <si>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</si>
  <si>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</si>
  <si>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</si>
  <si>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</si>
  <si>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</si>
  <si>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</si>
  <si>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</si>
  <si>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</si>
  <si>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</si>
  <si>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</si>
  <si>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</si>
  <si>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</si>
  <si>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</si>
  <si>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</si>
  <si>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</si>
  <si>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</si>
  <si>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</si>
  <si>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</si>
  <si>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</si>
  <si>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</si>
  <si>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</si>
  <si>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</si>
  <si>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</si>
  <si>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</si>
  <si>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</si>
  <si>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</si>
  <si>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</si>
  <si>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</si>
  <si>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</si>
  <si>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</si>
  <si>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</si>
  <si>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</si>
  <si>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</si>
  <si>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</si>
  <si>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</si>
  <si>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</si>
  <si>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</si>
  <si>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</si>
  <si>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</si>
  <si>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</si>
  <si>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</si>
  <si>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</si>
  <si>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</si>
  <si>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</si>
  <si>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</si>
  <si>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</si>
  <si>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</si>
  <si>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</si>
  <si>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</si>
  <si>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</si>
  <si>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</si>
  <si>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</si>
  <si>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</si>
  <si>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</si>
  <si>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</si>
  <si>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</si>
  <si>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</si>
  <si>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</si>
  <si>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</si>
  <si>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</si>
  <si>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</si>
  <si>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</si>
  <si>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</si>
  <si>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</si>
  <si>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</si>
  <si>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</si>
  <si>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</si>
  <si>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</si>
  <si>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</si>
  <si>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</si>
  <si>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</si>
  <si>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</si>
  <si>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</si>
  <si>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</si>
  <si>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</si>
  <si>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</si>
  <si>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</si>
  <si>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</si>
  <si>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</si>
  <si>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</si>
  <si>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</si>
  <si>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</si>
  <si>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</si>
  <si>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</si>
  <si>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</si>
  <si>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</si>
  <si>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</si>
  <si>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</si>
  <si>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</si>
  <si>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</si>
  <si>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</si>
  <si>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</si>
  <si>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</si>
  <si>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</si>
  <si>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</si>
  <si>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</si>
  <si>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</si>
  <si>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</si>
  <si>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</si>
  <si>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</si>
  <si>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</si>
  <si>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</si>
  <si>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</si>
  <si>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</si>
  <si>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</si>
  <si>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</si>
  <si>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</si>
  <si>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</si>
  <si>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</si>
  <si>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</si>
  <si>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</si>
  <si>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</si>
  <si>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</si>
  <si>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</si>
  <si>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</si>
  <si>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</si>
  <si>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</si>
  <si>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</si>
  <si>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</si>
  <si>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</si>
  <si>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</si>
  <si>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</si>
  <si>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</si>
  <si>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</si>
  <si>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</si>
  <si>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</si>
  <si>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</si>
  <si>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</si>
  <si>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</si>
  <si>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</si>
  <si>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</si>
  <si>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</si>
  <si>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</si>
  <si>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</si>
  <si>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</si>
  <si>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</si>
  <si>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</si>
  <si>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</si>
  <si>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</si>
  <si>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</si>
  <si>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</si>
  <si>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</si>
  <si>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</si>
  <si>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</si>
  <si>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</si>
  <si>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</si>
  <si>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</si>
  <si>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</si>
  <si>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</si>
  <si>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</si>
  <si>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</si>
  <si>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</si>
  <si>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</si>
  <si>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</si>
  <si>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</si>
  <si>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</si>
  <si>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</si>
  <si>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</si>
  <si>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</si>
  <si>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</si>
  <si>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</si>
  <si>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</si>
  <si>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</si>
  <si>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</si>
  <si>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</si>
  <si>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</si>
  <si>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</si>
  <si>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</si>
  <si>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</si>
  <si>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</si>
  <si>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</si>
  <si>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</si>
  <si>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</si>
  <si>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</si>
  <si>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</si>
  <si>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</si>
  <si>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</si>
  <si>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</si>
  <si>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</si>
  <si>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</si>
  <si>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</si>
  <si>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</si>
  <si>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</si>
  <si>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</si>
  <si>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</si>
  <si>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</si>
  <si>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</si>
  <si>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</si>
  <si>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</si>
  <si>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</si>
  <si>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</si>
  <si>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</si>
  <si>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</si>
  <si>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</si>
  <si>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</si>
  <si>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</si>
  <si>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</si>
  <si>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</si>
  <si>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</si>
  <si>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</si>
  <si>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</si>
  <si>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</si>
  <si>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</si>
  <si>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</si>
  <si>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</si>
  <si>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</si>
  <si>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</si>
  <si>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</si>
  <si>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</si>
  <si>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</si>
  <si>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</si>
  <si>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</si>
  <si>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</si>
  <si>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</si>
  <si>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</si>
  <si>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</si>
  <si>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</si>
  <si>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</si>
  <si>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</si>
  <si>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</si>
  <si>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</si>
  <si>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</si>
  <si>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</si>
  <si>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</si>
  <si>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</si>
  <si>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</si>
  <si>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</si>
  <si>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</si>
  <si>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</si>
  <si>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</si>
  <si>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</si>
  <si>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</si>
  <si>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</si>
  <si>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</si>
  <si>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</si>
  <si>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</si>
  <si>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</si>
  <si>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</si>
  <si>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</si>
  <si>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</si>
  <si>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</si>
  <si>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</si>
  <si>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</si>
  <si>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</si>
  <si>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</si>
  <si>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</si>
  <si>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</si>
  <si>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</si>
  <si>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</si>
  <si>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</si>
  <si>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</si>
  <si>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</si>
  <si>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</si>
  <si>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</si>
  <si>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</si>
  <si>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</si>
  <si>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</si>
  <si>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</si>
  <si>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</si>
  <si>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</si>
  <si>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</si>
  <si>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</si>
  <si>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</si>
  <si>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</si>
  <si>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</si>
  <si>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</si>
  <si>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</si>
  <si>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</si>
  <si>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</si>
  <si>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</si>
  <si>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</si>
  <si>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</si>
  <si>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</si>
  <si>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</si>
  <si>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</si>
  <si>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</si>
  <si>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</si>
  <si>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</si>
  <si>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</si>
  <si>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</si>
  <si>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</si>
  <si>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</si>
  <si>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</si>
  <si>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</si>
  <si>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</si>
  <si>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</si>
  <si>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</si>
  <si>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</si>
  <si>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</si>
  <si>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</si>
  <si>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</si>
  <si>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</si>
  <si>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</si>
  <si>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</si>
  <si>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</si>
  <si>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</si>
  <si>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</si>
  <si>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</si>
  <si>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</si>
  <si>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</si>
  <si>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</si>
  <si>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</si>
  <si>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</si>
  <si>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</si>
  <si>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</si>
  <si>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</si>
  <si>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</si>
  <si>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</si>
  <si>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</si>
  <si>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</si>
  <si>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</si>
  <si>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</si>
  <si>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</si>
  <si>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</si>
  <si>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</si>
  <si>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</si>
  <si>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</si>
  <si>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</si>
  <si>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</si>
  <si>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</si>
  <si>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</si>
  <si>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</si>
  <si>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</si>
  <si>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</si>
  <si>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</si>
  <si>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</si>
  <si>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</si>
  <si>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</si>
  <si>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</si>
  <si>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</si>
  <si>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</si>
  <si>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</si>
  <si>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</si>
  <si>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</si>
  <si>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</si>
  <si>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</si>
  <si>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</si>
  <si>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</si>
  <si>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</si>
  <si>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</si>
  <si>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</si>
  <si>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</si>
  <si>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</si>
  <si>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</si>
  <si>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</si>
  <si>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</si>
  <si>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</si>
  <si>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</si>
  <si>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</si>
  <si>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</si>
  <si>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</si>
  <si>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</si>
  <si>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</si>
  <si>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</si>
  <si>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</si>
  <si>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</si>
  <si>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</si>
  <si>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</si>
  <si>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</si>
  <si>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</si>
  <si>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</si>
  <si>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</si>
  <si>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</si>
  <si>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</si>
  <si>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</si>
  <si>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</si>
  <si>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</si>
  <si>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</si>
  <si>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</si>
  <si>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</si>
  <si>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</si>
  <si>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</si>
  <si>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</si>
  <si>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</si>
  <si>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</si>
  <si>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</si>
  <si>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</si>
  <si>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</si>
  <si>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</si>
  <si>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</si>
  <si>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</si>
  <si>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</si>
  <si>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</si>
  <si>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</si>
  <si>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</si>
  <si>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</si>
  <si>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</si>
  <si>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</si>
  <si>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</si>
  <si>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</si>
  <si>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</si>
  <si>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</si>
  <si>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</si>
  <si>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</si>
  <si>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</si>
  <si>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</si>
  <si>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</si>
  <si>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</si>
  <si>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</si>
  <si>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</si>
  <si>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</si>
  <si>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</si>
  <si>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</si>
  <si>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</si>
  <si>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</si>
  <si>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</si>
  <si>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</si>
  <si>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</si>
  <si>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</si>
  <si>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</si>
  <si>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</si>
  <si>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</si>
  <si>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</si>
  <si>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</si>
  <si>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</si>
  <si>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</si>
  <si>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</si>
  <si>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</si>
  <si>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</si>
  <si>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</si>
  <si>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</si>
  <si>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</si>
  <si>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</si>
  <si>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</si>
  <si>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</si>
  <si>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</si>
  <si>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</si>
  <si>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</si>
  <si>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</si>
  <si>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</si>
  <si>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</si>
  <si>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</si>
  <si>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</si>
  <si>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</si>
  <si>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</si>
  <si>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</si>
  <si>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</si>
  <si>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</si>
  <si>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</si>
  <si>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</si>
  <si>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</si>
  <si>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</si>
  <si>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</si>
  <si>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</si>
  <si>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</si>
  <si>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</si>
  <si>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</si>
  <si>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</si>
  <si>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</si>
  <si>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</si>
  <si>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</si>
  <si>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</si>
  <si>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</si>
  <si>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</si>
  <si>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</si>
  <si>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</si>
  <si>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Acquired by £FRAS 2022</t>
  </si>
  <si>
    <t>Collapsed into administration Nov 2022</t>
  </si>
  <si>
    <t>£BRBY</t>
  </si>
  <si>
    <t>£MUL</t>
  </si>
  <si>
    <t>Mulberry Group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</si>
</sst>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8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8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2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3" borderId="0" xfId="0" applyFont="1" applyFill="1"/>
    <xf numFmtId="0" fontId="4" fillId="13" borderId="0" xfId="1" applyFont="1" applyFill="1"/>
    <xf numFmtId="0" fontId="1" fillId="13" borderId="0" xfId="0" applyFont="1" applyFill="1" applyAlignment="1">
      <alignment horizontal="center"/>
    </xf>
    <xf numFmtId="9" fontId="1" fillId="13" borderId="0" xfId="0" applyNumberFormat="1" applyFont="1" applyFill="1" applyAlignment="1">
      <alignment horizontal="center"/>
    </xf>
    <xf numFmtId="165" fontId="1" fillId="13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3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3" borderId="0" xfId="0" applyNumberFormat="1" applyFont="1" applyFill="1" applyAlignment="1">
      <alignment horizontal="right"/>
    </xf>
    <xf numFmtId="15" fontId="1" fillId="13" borderId="0" xfId="0" applyNumberFormat="1" applyFont="1" applyFill="1" applyAlignment="1">
      <alignment horizontal="center"/>
    </xf>
    <xf numFmtId="16" fontId="1" fillId="13" borderId="0" xfId="0" applyNumberFormat="1" applyFont="1" applyFill="1" applyAlignment="1">
      <alignment horizontal="center"/>
    </xf>
    <xf numFmtId="167" fontId="1" fillId="13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4" borderId="0" xfId="0" applyNumberFormat="1" applyFont="1" applyFill="1" applyAlignment="1">
      <alignment horizontal="center"/>
    </xf>
    <xf numFmtId="10" fontId="7" fillId="11" borderId="2" xfId="0" applyNumberFormat="1" applyFont="1" applyFill="1" applyBorder="1" applyAlignment="1">
      <alignment horizontal="right" vertical="top"/>
    </xf>
    <xf numFmtId="0" fontId="3" fillId="15" borderId="2" xfId="1" applyFill="1" applyBorder="1" applyAlignment="1">
      <alignment vertical="top"/>
    </xf>
    <xf numFmtId="0" fontId="6" fillId="15" borderId="2" xfId="0" applyFont="1" applyFill="1" applyBorder="1" applyAlignment="1">
      <alignment vertical="top"/>
    </xf>
    <xf numFmtId="0" fontId="6" fillId="15" borderId="2" xfId="0" applyFont="1" applyFill="1" applyBorder="1" applyAlignment="1">
      <alignment horizontal="center" vertical="top"/>
    </xf>
    <xf numFmtId="0" fontId="6" fillId="15" borderId="2" xfId="0" applyFont="1" applyFill="1" applyBorder="1" applyAlignment="1">
      <alignment horizontal="left" vertical="top"/>
    </xf>
    <xf numFmtId="0" fontId="8" fillId="15" borderId="2" xfId="0" applyFont="1" applyFill="1" applyBorder="1" applyAlignment="1">
      <alignment horizontal="right" vertical="top"/>
    </xf>
    <xf numFmtId="0" fontId="9" fillId="15" borderId="2" xfId="0" applyFont="1" applyFill="1" applyBorder="1" applyAlignment="1">
      <alignment horizontal="right" vertical="top"/>
    </xf>
    <xf numFmtId="10" fontId="8" fillId="15" borderId="2" xfId="0" applyNumberFormat="1" applyFont="1" applyFill="1" applyBorder="1" applyAlignment="1">
      <alignment horizontal="right" vertical="top"/>
    </xf>
    <xf numFmtId="15" fontId="7" fillId="15" borderId="2" xfId="0" applyNumberFormat="1" applyFont="1" applyFill="1" applyBorder="1" applyAlignment="1">
      <alignment horizontal="right" vertical="top"/>
    </xf>
    <xf numFmtId="0" fontId="6" fillId="15" borderId="2" xfId="0" applyFont="1" applyFill="1" applyBorder="1" applyAlignment="1">
      <alignment horizontal="right" vertical="top"/>
    </xf>
    <xf numFmtId="0" fontId="0" fillId="15" borderId="0" xfId="0" applyFill="1"/>
    <xf numFmtId="166" fontId="1" fillId="13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93.83</v>
          </cell>
        </row>
        <row r="8">
          <cell r="C8">
            <v>147040.99299999999</v>
          </cell>
        </row>
        <row r="11">
          <cell r="C11">
            <v>2445</v>
          </cell>
        </row>
        <row r="12">
          <cell r="C12">
            <v>144595.99299999999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23.915976347998704</v>
          </cell>
        </row>
        <row r="34">
          <cell r="C34">
            <v>24.48914890009927</v>
          </cell>
        </row>
        <row r="36">
          <cell r="C36">
            <v>9.2934517128049539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17.739999999999998</v>
          </cell>
        </row>
        <row r="8">
          <cell r="C8">
            <v>894.82333999999992</v>
          </cell>
        </row>
        <row r="11">
          <cell r="C11">
            <v>65.737000000000023</v>
          </cell>
        </row>
        <row r="12">
          <cell r="C12">
            <v>829.08633999999984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-1.077175299046689</v>
          </cell>
        </row>
        <row r="33">
          <cell r="C33">
            <v>-56.096058048454417</v>
          </cell>
        </row>
        <row r="35">
          <cell r="C35">
            <v>1.3298883267742285</v>
          </cell>
        </row>
        <row r="37">
          <cell r="C37">
            <v>4.0198120983993046</v>
          </cell>
        </row>
        <row r="38">
          <cell r="C38">
            <v>3.1522996844226485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0.38490000000000002</v>
          </cell>
        </row>
        <row r="8">
          <cell r="C8">
            <v>477.16053000000005</v>
          </cell>
        </row>
        <row r="11">
          <cell r="C11">
            <v>-36.599999999999966</v>
          </cell>
        </row>
        <row r="12">
          <cell r="C12">
            <v>513.76053000000002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1.1237883419689116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1.1519999999999999</v>
          </cell>
        </row>
        <row r="8">
          <cell r="C8">
            <v>94.324690943999983</v>
          </cell>
        </row>
        <row r="11">
          <cell r="C11">
            <v>8.3000000000000007</v>
          </cell>
        </row>
        <row r="12">
          <cell r="C12">
            <v>86.024690943999985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3.7896339622907425</v>
          </cell>
        </row>
        <row r="35">
          <cell r="C35">
            <v>4.1552727288105658</v>
          </cell>
        </row>
        <row r="37">
          <cell r="C37">
            <v>0.90784110629451398</v>
          </cell>
        </row>
        <row r="39">
          <cell r="C39">
            <v>-2.6176308192797801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28.02</v>
          </cell>
        </row>
        <row r="8">
          <cell r="C8">
            <v>10863.017759999999</v>
          </cell>
        </row>
        <row r="11">
          <cell r="C11">
            <v>-4666.0349999999999</v>
          </cell>
        </row>
        <row r="12">
          <cell r="C12">
            <v>15529.052759999999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11.196943949135527</v>
          </cell>
        </row>
        <row r="34">
          <cell r="C34">
            <v>7.8851726402966102</v>
          </cell>
        </row>
        <row r="36">
          <cell r="C36">
            <v>3.5205117389089331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52.36</v>
          </cell>
        </row>
        <row r="8">
          <cell r="C8">
            <v>6951.8895599999996</v>
          </cell>
        </row>
        <row r="11">
          <cell r="C11">
            <v>-615.79999999999995</v>
          </cell>
        </row>
        <row r="12">
          <cell r="C12">
            <v>7567.6895599999998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11.170021490774916</v>
          </cell>
        </row>
        <row r="34">
          <cell r="C34">
            <v>9.8614553505535145</v>
          </cell>
        </row>
        <row r="36">
          <cell r="C36">
            <v>6.6149861386138609</v>
          </cell>
        </row>
        <row r="38">
          <cell r="C38">
            <v>23.595786536449214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1.022</v>
          </cell>
        </row>
        <row r="8">
          <cell r="C8">
            <v>5273.52</v>
          </cell>
        </row>
        <row r="11">
          <cell r="C11">
            <v>1013.1000000000001</v>
          </cell>
        </row>
        <row r="12">
          <cell r="C12">
            <v>4260.42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19.696809986130337</v>
          </cell>
        </row>
        <row r="34">
          <cell r="C34">
            <v>13.208756530668998</v>
          </cell>
        </row>
        <row r="36">
          <cell r="C36">
            <v>1.9809164028971902</v>
          </cell>
        </row>
        <row r="38">
          <cell r="C38">
            <v>21.698173855148315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7.25</v>
          </cell>
        </row>
        <row r="8">
          <cell r="C8">
            <v>3461.73</v>
          </cell>
        </row>
        <row r="11">
          <cell r="C11">
            <v>0</v>
          </cell>
        </row>
        <row r="12">
          <cell r="C12">
            <v>3461.73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7.12</v>
          </cell>
        </row>
        <row r="8">
          <cell r="C8">
            <v>3234.7726400000001</v>
          </cell>
        </row>
        <row r="11">
          <cell r="C11">
            <v>180.2700000000001</v>
          </cell>
        </row>
        <row r="12">
          <cell r="C12">
            <v>3054.5026400000002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21.115922407952812</v>
          </cell>
        </row>
        <row r="35">
          <cell r="C35">
            <v>22.825917900868863</v>
          </cell>
        </row>
        <row r="37">
          <cell r="C37">
            <v>1.8876434204020021</v>
          </cell>
        </row>
        <row r="41">
          <cell r="C41">
            <v>9.2051004832527816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21</v>
          </cell>
        </row>
        <row r="8">
          <cell r="C8">
            <v>1945.86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10.24</v>
          </cell>
        </row>
        <row r="8">
          <cell r="C8">
            <v>1725.0304000000001</v>
          </cell>
        </row>
        <row r="11">
          <cell r="C11">
            <v>-177</v>
          </cell>
        </row>
        <row r="12">
          <cell r="C12">
            <v>1902.0304000000001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59.925343415248761</v>
          </cell>
        </row>
        <row r="34">
          <cell r="C34">
            <v>4.0901579978361697</v>
          </cell>
        </row>
        <row r="36">
          <cell r="C36">
            <v>1.2473050731522497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6.17</v>
          </cell>
        </row>
        <row r="8">
          <cell r="C8">
            <v>615.12449275999995</v>
          </cell>
        </row>
        <row r="11">
          <cell r="C11">
            <v>-117.10000000000002</v>
          </cell>
        </row>
        <row r="12">
          <cell r="C12">
            <v>732.22449275999998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0.62487250381958526</v>
          </cell>
        </row>
        <row r="36">
          <cell r="C36">
            <v>-19.971574440259683</v>
          </cell>
        </row>
        <row r="41">
          <cell r="C41">
            <v>4.7856340246105864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topLeftCell="A7" workbookViewId="0">
      <selection activeCell="B27" sqref="B27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5.75" thickBot="1" x14ac:dyDescent="0.3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5.75" thickBot="1" x14ac:dyDescent="0.3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5.75" thickBot="1" x14ac:dyDescent="0.3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8" customFormat="1" ht="15.75" thickBot="1" x14ac:dyDescent="0.3">
      <c r="A14" s="119" t="s">
        <v>312</v>
      </c>
      <c r="B14" s="120" t="s">
        <v>302</v>
      </c>
      <c r="C14" s="121" t="s">
        <v>31</v>
      </c>
      <c r="D14" s="122" t="s">
        <v>243</v>
      </c>
      <c r="E14" s="123" t="s">
        <v>313</v>
      </c>
      <c r="F14" s="123" t="s">
        <v>314</v>
      </c>
      <c r="G14" s="123">
        <v>17.72</v>
      </c>
      <c r="H14" s="123">
        <v>4.3499999999999996</v>
      </c>
      <c r="I14" s="124">
        <v>1.39</v>
      </c>
      <c r="J14" s="123" t="s">
        <v>315</v>
      </c>
      <c r="K14" s="125">
        <v>0.92459999999999998</v>
      </c>
      <c r="L14" s="126">
        <v>44776</v>
      </c>
      <c r="M14" s="127" t="s">
        <v>316</v>
      </c>
      <c r="N14" s="125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5.75" thickBot="1" x14ac:dyDescent="0.3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5.75" thickBot="1" x14ac:dyDescent="0.3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60" customFormat="1" ht="15.75" thickBot="1" x14ac:dyDescent="0.3">
      <c r="A38" s="61" t="s">
        <v>445</v>
      </c>
      <c r="B38" s="62" t="s">
        <v>446</v>
      </c>
      <c r="C38" s="63" t="s">
        <v>13</v>
      </c>
      <c r="D38" s="64" t="s">
        <v>243</v>
      </c>
      <c r="E38" s="67" t="s">
        <v>447</v>
      </c>
      <c r="F38" s="67" t="s">
        <v>448</v>
      </c>
      <c r="G38" s="67">
        <v>28.63</v>
      </c>
      <c r="H38" s="67">
        <v>13.37</v>
      </c>
      <c r="I38" s="67">
        <v>2.92</v>
      </c>
      <c r="J38" s="65" t="s">
        <v>449</v>
      </c>
      <c r="K38" s="118">
        <v>0.4834</v>
      </c>
      <c r="L38" s="70" t="s">
        <v>54</v>
      </c>
      <c r="M38" s="70" t="s">
        <v>450</v>
      </c>
      <c r="N38" s="68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C15" sqref="C15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5.75" thickBot="1" x14ac:dyDescent="0.3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5.75" thickBot="1" x14ac:dyDescent="0.3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5.75" thickBot="1" x14ac:dyDescent="0.3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5.75" thickBot="1" x14ac:dyDescent="0.3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K33"/>
  <sheetViews>
    <sheetView tabSelected="1" zoomScaleNormal="100" workbookViewId="0">
      <pane xSplit="2" ySplit="2" topLeftCell="P6" activePane="bottomRight" state="frozen"/>
      <selection pane="topRight" activeCell="C1" sqref="C1"/>
      <selection pane="bottomLeft" activeCell="A3" sqref="A3"/>
      <selection pane="bottomRight" activeCell="AI23" sqref="AI23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5" width="9.140625" style="1"/>
    <col min="36" max="36" width="16" style="1" bestFit="1" customWidth="1"/>
    <col min="37" max="37" width="33.85546875" style="1" bestFit="1" customWidth="1"/>
    <col min="38" max="16384" width="9.140625" style="1"/>
  </cols>
  <sheetData>
    <row r="1" spans="1:37" x14ac:dyDescent="0.2">
      <c r="D1" s="1"/>
      <c r="F1" s="132" t="s">
        <v>499</v>
      </c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04">
        <f>AVERAGE(R3:R16)</f>
        <v>1.550434623565353</v>
      </c>
      <c r="S1" s="104">
        <f>AVERAGE(S3:S16)</f>
        <v>12.698760362329685</v>
      </c>
      <c r="T1" s="104">
        <f>AVERAGE(T3:T16)</f>
        <v>2.6126027375685812</v>
      </c>
      <c r="U1" s="88"/>
      <c r="V1" s="117">
        <f t="shared" ref="V1:AB1" si="0">AVERAGE(V3:V16)</f>
        <v>0.14757665631622019</v>
      </c>
      <c r="W1" s="117">
        <f t="shared" si="0"/>
        <v>6.1523225008126764E-2</v>
      </c>
      <c r="X1" s="117">
        <f t="shared" si="0"/>
        <v>0.10798125173689554</v>
      </c>
      <c r="Y1" s="117">
        <f t="shared" si="0"/>
        <v>0.48923458289668553</v>
      </c>
      <c r="Z1" s="117">
        <f t="shared" si="0"/>
        <v>5.2286639531140301E-2</v>
      </c>
      <c r="AA1" s="117">
        <f t="shared" si="0"/>
        <v>3.6692022922336129E-2</v>
      </c>
      <c r="AB1" s="117">
        <f t="shared" si="0"/>
        <v>6.454473038657256E-2</v>
      </c>
      <c r="AC1" s="88"/>
      <c r="AD1" s="90" t="s">
        <v>537</v>
      </c>
      <c r="AE1" s="89">
        <f>AVERAGE(AE3:AE16)</f>
        <v>0.28208478568596257</v>
      </c>
      <c r="AF1" s="89">
        <f>AVERAGE(AF3:AF16)</f>
        <v>0.10806567193056367</v>
      </c>
      <c r="AG1" s="89">
        <f>AVERAGE(AG3:AG16)</f>
        <v>0.23476168316344095</v>
      </c>
      <c r="AH1" s="91">
        <f>AVERAGE(AH3:AH16)</f>
        <v>665.09462510297612</v>
      </c>
      <c r="AI1" s="91"/>
    </row>
    <row r="2" spans="1:37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521</v>
      </c>
      <c r="AJ2" s="5" t="s">
        <v>522</v>
      </c>
      <c r="AK2" s="2" t="s">
        <v>538</v>
      </c>
    </row>
    <row r="3" spans="1:37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79.755499999999998</v>
      </c>
      <c r="G3" s="49">
        <f>[1]Main!$C$8*$E$27</f>
        <v>124984.84404999999</v>
      </c>
      <c r="H3" s="49">
        <f>[1]Main!$C$11*$E$27</f>
        <v>2078.25</v>
      </c>
      <c r="I3" s="49">
        <f>[1]Main!$C$12*$E$27</f>
        <v>122906.59404999999</v>
      </c>
      <c r="J3" s="4" t="str">
        <f>[1]Main!$C$28</f>
        <v>FQ123</v>
      </c>
      <c r="K3" s="86">
        <f>[1]Main!$D$28</f>
        <v>44833</v>
      </c>
      <c r="L3" s="50">
        <f>[1]Main!$C$33</f>
        <v>23.915976347998704</v>
      </c>
      <c r="O3" s="56">
        <f>'[1]Financial Model'!$AD$21*1000*E27</f>
        <v>5139.099999999994</v>
      </c>
      <c r="P3" s="56">
        <f>'[1]Financial Model'!$AC$21*1000*E27</f>
        <v>4867.949999999998</v>
      </c>
      <c r="Q3" s="56">
        <f>'[1]Financial Model'!$AB$21*1000*E27</f>
        <v>2158.15</v>
      </c>
      <c r="R3" s="51">
        <f>[1]Main!$C$34</f>
        <v>24.48914890009927</v>
      </c>
      <c r="S3" s="51">
        <f>[1]Main!$C$38</f>
        <v>37.504159682207103</v>
      </c>
      <c r="T3" s="51">
        <f>[1]Main!$C$36</f>
        <v>9.2934517128049539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8212.6999999999989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I3" s="4">
        <f>[1]Main!$C$24</f>
        <v>1964</v>
      </c>
      <c r="AJ3" s="4" t="str">
        <f>[1]Main!$C$23</f>
        <v>Beaverton, OR</v>
      </c>
    </row>
    <row r="4" spans="1:37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23.817</v>
      </c>
      <c r="G4" s="49">
        <f>[2]Main!$C$8*$E$27</f>
        <v>9233.5650959999984</v>
      </c>
      <c r="H4" s="49">
        <f>[2]Main!$C$11*$E$27</f>
        <v>-3966.1297499999996</v>
      </c>
      <c r="I4" s="49">
        <f>[2]Main!$C$12*$E$27</f>
        <v>13199.694845999999</v>
      </c>
      <c r="J4" s="4" t="str">
        <f>[2]Main!$C$28</f>
        <v>FQ123</v>
      </c>
      <c r="K4" s="86">
        <f>[2]Main!$D$28</f>
        <v>44860</v>
      </c>
      <c r="L4" s="50">
        <f>[2]Main!$C$33</f>
        <v>11.196943949135527</v>
      </c>
      <c r="O4" s="56">
        <f>'[2]Financial Model'!$AA$22*E27</f>
        <v>1178.865849999999</v>
      </c>
      <c r="P4" s="56">
        <f>'[2]Financial Model'!$Z$22*$E$27</f>
        <v>346.67165000000119</v>
      </c>
      <c r="Q4" s="56">
        <f>'[2]Financial Model'!$Y$22*$E$27</f>
        <v>577.53165000000013</v>
      </c>
      <c r="R4" s="51">
        <f>[2]Main!$C$34</f>
        <v>7.8851726402966102</v>
      </c>
      <c r="T4" s="51">
        <f>[2]Main!$C$36</f>
        <v>3.5205117389089331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1990.1857499999999</v>
      </c>
      <c r="AE4" s="53">
        <f>'[2]Financial Model'!$T$76</f>
        <v>0.9241949083593437</v>
      </c>
      <c r="AH4" s="57">
        <f>[2]Main!$C$25</f>
        <v>1297</v>
      </c>
      <c r="AI4" s="4">
        <f>[2]Main!$C$24</f>
        <v>1899</v>
      </c>
      <c r="AJ4" s="4" t="str">
        <f>[2]Main!$C$23</f>
        <v>Denver, US</v>
      </c>
    </row>
    <row r="5" spans="1:37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52.36</v>
      </c>
      <c r="G5" s="49">
        <f>[3]Main!$C$8</f>
        <v>6951.8895599999996</v>
      </c>
      <c r="H5" s="49">
        <f>[3]Main!$C$11</f>
        <v>-615.79999999999995</v>
      </c>
      <c r="I5" s="49">
        <f>[3]Main!$C$12</f>
        <v>7567.6895599999998</v>
      </c>
      <c r="J5" s="4" t="str">
        <f>[3]Main!$C$28</f>
        <v>FY22</v>
      </c>
      <c r="L5" s="50">
        <f>[3]Main!$C$33</f>
        <v>11.170021490774916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9.8614553505535145</v>
      </c>
      <c r="S5" s="51">
        <f>[3]Main!$C$38</f>
        <v>23.595786536449214</v>
      </c>
      <c r="T5" s="51">
        <f>[3]Main!$C$36</f>
        <v>6.6149861386138609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4">
        <f>[3]Main!$C$24</f>
        <v>1864</v>
      </c>
      <c r="AJ5" s="4" t="str">
        <f>[3]Main!$C$23</f>
        <v>Leicester, UK</v>
      </c>
    </row>
    <row r="6" spans="1:37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1.022</v>
      </c>
      <c r="G6" s="49">
        <f>[4]Main!$C$8</f>
        <v>5273.52</v>
      </c>
      <c r="H6" s="49">
        <f>[4]Main!$C$11</f>
        <v>1013.1000000000001</v>
      </c>
      <c r="I6" s="49">
        <f>[4]Main!$C$12</f>
        <v>4260.42</v>
      </c>
      <c r="J6" s="4" t="str">
        <f>[4]Main!$C$28</f>
        <v>H123</v>
      </c>
      <c r="K6" s="86">
        <f>[4]Main!$D$28</f>
        <v>44826</v>
      </c>
      <c r="L6" s="50">
        <f>[4]Main!$C$33</f>
        <v>19.696809986130337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13.208756530668998</v>
      </c>
      <c r="S6" s="52">
        <f>[4]Main!$C$38</f>
        <v>21.698173855148315</v>
      </c>
      <c r="T6" s="52">
        <f>[4]Main!$C$36</f>
        <v>1.9809164028971902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4">
        <f>[4]Main!$C$24</f>
        <v>1981</v>
      </c>
      <c r="AJ6" s="4" t="str">
        <f>[4]Main!$C$23</f>
        <v>Bury, UK</v>
      </c>
    </row>
    <row r="7" spans="1:37" s="97" customFormat="1" x14ac:dyDescent="0.2">
      <c r="B7" s="98" t="s">
        <v>526</v>
      </c>
      <c r="C7" s="97" t="s">
        <v>527</v>
      </c>
      <c r="D7" s="99" t="s">
        <v>13</v>
      </c>
      <c r="E7" s="99" t="s">
        <v>15</v>
      </c>
      <c r="F7" s="100">
        <f>[5]Main!$C$6</f>
        <v>7.25</v>
      </c>
      <c r="G7" s="101">
        <f>[5]Main!$C$8</f>
        <v>3461.73</v>
      </c>
      <c r="H7" s="101">
        <f>[5]Main!$C$11</f>
        <v>0</v>
      </c>
      <c r="I7" s="101">
        <f>[5]Main!$C$12</f>
        <v>3461.73</v>
      </c>
      <c r="K7" s="99"/>
      <c r="Q7" s="99"/>
      <c r="U7" s="102"/>
      <c r="V7" s="99"/>
      <c r="W7" s="99"/>
      <c r="X7" s="99"/>
      <c r="AD7" s="101">
        <f>[5]Main!$C$26</f>
        <v>0</v>
      </c>
      <c r="AE7" s="99"/>
      <c r="AF7" s="99"/>
      <c r="AG7" s="99"/>
      <c r="AH7" s="99">
        <f>[5]Main!$C$25</f>
        <v>0</v>
      </c>
      <c r="AI7" s="99">
        <f>[5]Main!$C$24</f>
        <v>1982</v>
      </c>
      <c r="AJ7" s="99" t="str">
        <f>[5]Main!$C$23</f>
        <v>Mansfiled, UK</v>
      </c>
    </row>
    <row r="8" spans="1:37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6.0519999999999996</v>
      </c>
      <c r="G8" s="49">
        <f>[6]Main!$C$8*E27</f>
        <v>2749.556744</v>
      </c>
      <c r="H8" s="49">
        <f>[6]Main!$C$11*$E$27</f>
        <v>153.22950000000009</v>
      </c>
      <c r="I8" s="49">
        <f>[6]Main!$C$12*$E$27</f>
        <v>2596.3272440000001</v>
      </c>
      <c r="J8" s="4" t="str">
        <f>[6]Main!$C$29</f>
        <v>FQ223</v>
      </c>
      <c r="K8" s="86">
        <f>[6]Main!$D$29</f>
        <v>44868</v>
      </c>
      <c r="L8" s="50">
        <f>[6]Main!$C$34</f>
        <v>21.115922407952812</v>
      </c>
      <c r="O8" s="56">
        <f>'[6]Financial Model'!$AA$20*$E$27</f>
        <v>-466.80045000000001</v>
      </c>
      <c r="P8" s="56">
        <f>'[6]Financial Model'!$Z$20*$E$27</f>
        <v>78.320699999999349</v>
      </c>
      <c r="Q8" s="56">
        <f>'[6]Financial Model'!$Y$20*$E$27</f>
        <v>-39.356700000000338</v>
      </c>
      <c r="R8" s="52">
        <f>[6]Main!$C$35</f>
        <v>22.825917900868863</v>
      </c>
      <c r="S8" s="52">
        <f>[6]Main!$C$41</f>
        <v>9.2051004832527816</v>
      </c>
      <c r="T8" s="52">
        <f>[6]Main!$C$37</f>
        <v>1.8876434204020021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918.35700000000008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4">
        <f>[6]Main!$C$24</f>
        <v>1996</v>
      </c>
      <c r="AJ8" s="4" t="str">
        <f>[6]Main!$C$23</f>
        <v>Baltimore, US</v>
      </c>
    </row>
    <row r="9" spans="1:37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17.849999999999998</v>
      </c>
      <c r="G9" s="49">
        <f>[7]Main!$C$8*$E$27</f>
        <v>1653.9809999999998</v>
      </c>
      <c r="H9" s="49"/>
      <c r="I9" s="4"/>
      <c r="J9" s="59"/>
      <c r="K9" s="56"/>
      <c r="L9" s="56"/>
      <c r="M9" s="56"/>
      <c r="N9" s="56"/>
      <c r="U9" s="53"/>
      <c r="AD9" s="56"/>
    </row>
    <row r="10" spans="1:37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8.7040000000000006</v>
      </c>
      <c r="G10" s="49">
        <f>[8]Main!$C$8*E27</f>
        <v>1466.27584</v>
      </c>
      <c r="H10" s="49">
        <f>[8]Main!$C$11*$E$27</f>
        <v>-150.44999999999999</v>
      </c>
      <c r="I10" s="49">
        <f>[8]Main!$C$12*$E$27</f>
        <v>1616.7258400000001</v>
      </c>
      <c r="J10" s="4" t="str">
        <f>[8]Main!$C$28</f>
        <v>Q122</v>
      </c>
      <c r="L10" s="50">
        <f>[8]Main!$C$33</f>
        <v>59.925343415248761</v>
      </c>
      <c r="O10" s="56">
        <f>'[8]Financial Model'!$Z$16*E27</f>
        <v>356.68209999999988</v>
      </c>
      <c r="P10" s="56">
        <f>'[8]Financial Model'!$Y$16*F27</f>
        <v>-246.27882352941202</v>
      </c>
      <c r="Q10" s="4"/>
      <c r="R10" s="52">
        <f>[8]Main!$C$34</f>
        <v>4.0901579978361697</v>
      </c>
      <c r="T10" s="52">
        <f>[8]Main!$C$36</f>
        <v>1.2473050731522497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[8]Main!$C$26*E27</f>
        <v>579.78499999999997</v>
      </c>
      <c r="AE10" s="53">
        <f>'[8]Financial Model'!$O$71</f>
        <v>0.4615447248541884</v>
      </c>
      <c r="AH10" s="57">
        <f>[8]Main!$C$25</f>
        <v>1141</v>
      </c>
      <c r="AI10" s="4">
        <f>[8]Main!$C$24</f>
        <v>1977</v>
      </c>
      <c r="AJ10" s="4" t="str">
        <f>[8]Main!$C$23</f>
        <v>Pittsburgh, US</v>
      </c>
    </row>
    <row r="11" spans="1:37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6.17</v>
      </c>
      <c r="G11" s="49">
        <f>[9]Main!$C$8</f>
        <v>615.12449275999995</v>
      </c>
      <c r="H11" s="49">
        <f>[9]Main!$C$11</f>
        <v>-117.10000000000002</v>
      </c>
      <c r="I11" s="49">
        <f>[9]Main!$C$12</f>
        <v>732.22449275999998</v>
      </c>
      <c r="J11" s="85" t="str">
        <f>[9]Main!$C$28</f>
        <v>FY22</v>
      </c>
      <c r="K11" s="86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-19.971574440259683</v>
      </c>
      <c r="S11" s="52">
        <f>[9]Main!$C$41</f>
        <v>4.7856340246105864</v>
      </c>
      <c r="T11" s="52">
        <f>[9]Main!$C$33</f>
        <v>0.62487250381958526</v>
      </c>
      <c r="U11" s="87">
        <f>'[9]Financial Model'!$T$19</f>
        <v>6.6487661424370348E-3</v>
      </c>
      <c r="V11" s="87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4">
        <f>[9]Main!$C$24</f>
        <v>2000</v>
      </c>
      <c r="AJ11" s="85" t="str">
        <f>[9]Main!$C$23</f>
        <v>London, UK</v>
      </c>
    </row>
    <row r="12" spans="1:37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15.078999999999999</v>
      </c>
      <c r="G12" s="49">
        <f>[10]Main!$C$8*E27</f>
        <v>760.59983899999986</v>
      </c>
      <c r="H12" s="49">
        <f>[10]Main!$C$11*E27</f>
        <v>55.87645000000002</v>
      </c>
      <c r="I12" s="49">
        <f>[10]Main!$C$12*E27</f>
        <v>704.72338899999988</v>
      </c>
      <c r="J12" s="4" t="str">
        <f>[10]Main!$C$27</f>
        <v>Q222</v>
      </c>
      <c r="K12" s="86">
        <f>[10]Main!$D$27</f>
        <v>44798</v>
      </c>
      <c r="L12" s="50">
        <f>[10]Main!$C$32</f>
        <v>-1.077175299046689</v>
      </c>
      <c r="M12" s="50">
        <f>[10]Main!$C$38</f>
        <v>3.1522996844226485</v>
      </c>
      <c r="N12" s="50"/>
      <c r="O12" s="56">
        <f>'[10]Financial Model'!$X$18*E27</f>
        <v>223.55849999999975</v>
      </c>
      <c r="P12" s="56">
        <f>'[10]Financial Model'!$W$18*$E$27</f>
        <v>-96.917850000000129</v>
      </c>
      <c r="Q12" s="56">
        <f>'[10]Financial Model'!$V$18*$E$27</f>
        <v>33.454300000000522</v>
      </c>
      <c r="R12" s="52">
        <f>[10]Main!$C$33</f>
        <v>-56.096058048454417</v>
      </c>
      <c r="S12" s="52">
        <f>[10]Main!$C$37</f>
        <v>4.0198120983993046</v>
      </c>
      <c r="T12" s="52">
        <f>[10]Main!$C$35</f>
        <v>1.3298883267742285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Model'!$P$41*E27</f>
        <v>601.82039999999995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4">
        <f>[10]Main!$C$24</f>
        <v>1892</v>
      </c>
      <c r="AJ12" s="4" t="str">
        <f>[10]Main!$C$23</f>
        <v>Ohio, US</v>
      </c>
    </row>
    <row r="13" spans="1:37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0.38490000000000002</v>
      </c>
      <c r="G13" s="49">
        <f>[11]Main!$C$8</f>
        <v>477.16053000000005</v>
      </c>
      <c r="H13" s="6">
        <f>[11]Main!$C$11</f>
        <v>-36.599999999999966</v>
      </c>
      <c r="I13" s="58">
        <f>[11]Main!$C$12</f>
        <v>513.76053000000002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1.1237883419689116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4">
        <f>[11]Main!$C$24</f>
        <v>2006</v>
      </c>
      <c r="AJ13" s="4" t="str">
        <f>[11]Main!$C$23</f>
        <v>Manchester, UK</v>
      </c>
    </row>
    <row r="14" spans="1:37" s="109" customFormat="1" x14ac:dyDescent="0.2">
      <c r="B14" s="110" t="s">
        <v>391</v>
      </c>
      <c r="C14" s="109" t="s">
        <v>392</v>
      </c>
      <c r="D14" s="111" t="s">
        <v>13</v>
      </c>
      <c r="E14" s="111" t="s">
        <v>15</v>
      </c>
      <c r="F14" s="112">
        <f>[12]Main!$C$6</f>
        <v>1.0900000000000001</v>
      </c>
      <c r="G14" s="113">
        <f>[12]Main!$C$8</f>
        <v>201.23580000000001</v>
      </c>
      <c r="H14" s="114">
        <f>[12]Main!$C$11</f>
        <v>14.5</v>
      </c>
      <c r="I14" s="114">
        <f>[12]Main!$C$12</f>
        <v>186.73580000000001</v>
      </c>
      <c r="J14" s="111" t="str">
        <f>[12]Main!$C$28</f>
        <v>FY22</v>
      </c>
      <c r="K14" s="111"/>
      <c r="Q14" s="111"/>
      <c r="U14" s="115"/>
      <c r="V14" s="115">
        <f>'[12]Financial Model'!$T$23</f>
        <v>0.20588400900900905</v>
      </c>
      <c r="W14" s="111"/>
      <c r="X14" s="111"/>
      <c r="Y14" s="115">
        <f>'[12]Financial Model'!$T$26</f>
        <v>0.55486890948567691</v>
      </c>
      <c r="Z14" s="115">
        <f>'[12]Financial Model'!$T$27</f>
        <v>-8.0487007680993719E-2</v>
      </c>
      <c r="AA14" s="115">
        <f>'[12]Financial Model'!$T$28</f>
        <v>-8.2866014521513875E-2</v>
      </c>
      <c r="AB14" s="115">
        <f>'[12]Financial Model'!$T$29</f>
        <v>0.19258416742493159</v>
      </c>
      <c r="AD14" s="116">
        <f>[12]Main!$C$26</f>
        <v>103.071</v>
      </c>
      <c r="AE14" s="115">
        <f>'[12]Financial Model'!$T$74</f>
        <v>0.17328795191694746</v>
      </c>
      <c r="AF14" s="111"/>
      <c r="AG14" s="115">
        <f>'[12]Financial Model'!$T$76</f>
        <v>0.24063455746737328</v>
      </c>
      <c r="AH14" s="111">
        <f>[12]Main!$C$25</f>
        <v>85</v>
      </c>
      <c r="AI14" s="111">
        <f>[12]Main!$C$24</f>
        <v>1987</v>
      </c>
      <c r="AJ14" s="111" t="str">
        <f>[12]Main!$C$23</f>
        <v>London, UK</v>
      </c>
      <c r="AK14" s="109" t="s">
        <v>539</v>
      </c>
    </row>
    <row r="15" spans="1:37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1.1519999999999999</v>
      </c>
      <c r="G15" s="49">
        <f>[13]Main!$C$8</f>
        <v>94.324690943999983</v>
      </c>
      <c r="H15" s="49">
        <f>[13]Main!$C$11</f>
        <v>8.3000000000000007</v>
      </c>
      <c r="I15" s="49">
        <f>[13]Main!$C$12</f>
        <v>86.024690943999985</v>
      </c>
      <c r="J15" s="4" t="str">
        <f>[13]Main!$C$29</f>
        <v>FY22</v>
      </c>
      <c r="K15" s="86">
        <f>[13]Main!$D$29</f>
        <v>44841</v>
      </c>
      <c r="L15" s="50">
        <f>[13]Main!$C$34</f>
        <v>3.7896339622907425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4.1552727288105658</v>
      </c>
      <c r="S15" s="51">
        <f>[13]Main!$C$39</f>
        <v>-2.6176308192797801</v>
      </c>
      <c r="T15" s="51">
        <f>[13]Main!$C$37</f>
        <v>0.90784110629451398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4">
        <f>[13]Main!$C$25</f>
        <v>1985</v>
      </c>
      <c r="AJ15" s="4" t="str">
        <f>[13]Main!$C$24</f>
        <v>Cheltenham, UK</v>
      </c>
    </row>
    <row r="16" spans="1:37" s="92" customFormat="1" x14ac:dyDescent="0.2">
      <c r="B16" s="93" t="s">
        <v>445</v>
      </c>
      <c r="C16" s="92" t="s">
        <v>446</v>
      </c>
      <c r="D16" s="94" t="s">
        <v>489</v>
      </c>
      <c r="E16" s="94" t="s">
        <v>15</v>
      </c>
      <c r="F16" s="105">
        <f>[14]Main!$C$6</f>
        <v>9.2200000000000004E-2</v>
      </c>
      <c r="G16" s="103">
        <f>[14]Main!$C$8</f>
        <v>10.16966</v>
      </c>
      <c r="H16" s="103">
        <f>[14]Main!$C$11</f>
        <v>-6.5050000000000026</v>
      </c>
      <c r="I16" s="103">
        <f>[14]Main!$C$12</f>
        <v>16.674660000000003</v>
      </c>
      <c r="J16" s="106" t="str">
        <f>[14]Main!$C$28</f>
        <v>H122</v>
      </c>
      <c r="K16" s="107">
        <f>[14]Main!$D$28</f>
        <v>44600</v>
      </c>
      <c r="L16" s="129">
        <f>[14]Main!$C$36</f>
        <v>8.2793743793445529</v>
      </c>
      <c r="M16" s="96"/>
      <c r="N16" s="96"/>
      <c r="O16" s="96">
        <f>'[14]Financial Model'!$S$15</f>
        <v>0.89299999999999291</v>
      </c>
      <c r="P16" s="96">
        <f>'[14]Financial Model'!$R$15</f>
        <v>-20.27600000000001</v>
      </c>
      <c r="R16" s="108">
        <f>[14]Main!$C$37</f>
        <v>5.0560966752336345</v>
      </c>
      <c r="S16" s="108">
        <f>'[14]Financial Model'!$S$80</f>
        <v>3.3990470378499706</v>
      </c>
      <c r="T16" s="108">
        <f>[14]Main!$C$33</f>
        <v>0.20742534761796225</v>
      </c>
      <c r="U16" s="94"/>
      <c r="V16" s="95">
        <f>'[14]Financial Model'!$S$19</f>
        <v>4.2969896440400834E-2</v>
      </c>
      <c r="W16" s="94"/>
      <c r="Y16" s="95">
        <f>'[14]Financial Model'!$K$22</f>
        <v>0.50353090223741115</v>
      </c>
      <c r="Z16" s="95">
        <f>'[14]Financial Model'!$K$23</f>
        <v>2.5932384981739429E-2</v>
      </c>
      <c r="AA16" s="95">
        <f>'[14]Financial Model'!$K$24</f>
        <v>1.7767906718489747E-2</v>
      </c>
      <c r="AB16" s="95">
        <f>'[14]Financial Model'!$K$25</f>
        <v>0.10901960784313716</v>
      </c>
      <c r="AD16" s="96">
        <f>[14]Main!$C$26</f>
        <v>61.878</v>
      </c>
      <c r="AE16" s="95">
        <f>'[14]Financial Model'!$K$66</f>
        <v>0.44899775196702874</v>
      </c>
      <c r="AF16" s="95">
        <f>'[14]Financial Model'!$K$67</f>
        <v>0.32717055593685651</v>
      </c>
      <c r="AG16" s="95">
        <f>'[14]Financial Model'!$S$82</f>
        <v>0.23428321616827549</v>
      </c>
      <c r="AI16" s="94">
        <f>[14]Main!$C$24</f>
        <v>1989</v>
      </c>
      <c r="AJ16" s="92" t="str">
        <f>[14]Main!$C$23</f>
        <v>Market Harborough</v>
      </c>
      <c r="AK16" s="92" t="s">
        <v>540</v>
      </c>
    </row>
    <row r="17" spans="2:36" x14ac:dyDescent="0.2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4"/>
      <c r="AJ17" s="4"/>
    </row>
    <row r="18" spans="2:36" x14ac:dyDescent="0.2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</row>
    <row r="19" spans="2:36" x14ac:dyDescent="0.2">
      <c r="B19" s="1" t="s">
        <v>214</v>
      </c>
      <c r="C19" s="1" t="s">
        <v>488</v>
      </c>
      <c r="D19" s="4" t="s">
        <v>489</v>
      </c>
      <c r="G19" s="49"/>
      <c r="H19" s="49"/>
      <c r="I19" s="4"/>
      <c r="J19" s="1"/>
      <c r="K19" s="1"/>
      <c r="L19" s="56"/>
      <c r="M19" s="56"/>
      <c r="N19" s="56"/>
    </row>
    <row r="20" spans="2:36" x14ac:dyDescent="0.2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36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6" x14ac:dyDescent="0.2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36" x14ac:dyDescent="0.2">
      <c r="B23" s="3" t="s">
        <v>541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5">
        <f>[15]Main!$C$12</f>
        <v>8041.1028800000004</v>
      </c>
      <c r="J23" s="1"/>
      <c r="K23" s="1"/>
      <c r="M23" s="56"/>
      <c r="N23" s="56"/>
      <c r="AI23" s="4">
        <f>[15]Main!$C$24</f>
        <v>1856</v>
      </c>
      <c r="AJ23" s="4" t="str">
        <f>[15]Main!$C$23</f>
        <v>London, UK</v>
      </c>
    </row>
    <row r="24" spans="2:36" x14ac:dyDescent="0.2">
      <c r="B24" s="1" t="s">
        <v>542</v>
      </c>
      <c r="C24" s="1" t="s">
        <v>543</v>
      </c>
      <c r="G24" s="49"/>
      <c r="I24" s="4"/>
      <c r="J24" s="1"/>
      <c r="K24" s="1"/>
      <c r="M24" s="56"/>
      <c r="N24" s="56"/>
    </row>
    <row r="25" spans="2:36" x14ac:dyDescent="0.2">
      <c r="G25" s="49"/>
      <c r="I25" s="4"/>
      <c r="J25" s="1"/>
      <c r="K25" s="1"/>
      <c r="M25" s="56"/>
      <c r="N25" s="56"/>
    </row>
    <row r="26" spans="2:36" x14ac:dyDescent="0.2">
      <c r="D26" s="130" t="s">
        <v>495</v>
      </c>
      <c r="E26" s="131"/>
      <c r="F26" s="42" t="s">
        <v>496</v>
      </c>
      <c r="G26" s="49"/>
      <c r="I26" s="4"/>
      <c r="J26" s="1"/>
      <c r="K26" s="1"/>
    </row>
    <row r="27" spans="2:36" x14ac:dyDescent="0.2">
      <c r="D27" s="43" t="s">
        <v>497</v>
      </c>
      <c r="E27" s="44">
        <v>0.85</v>
      </c>
      <c r="F27" s="45">
        <f>1/E27</f>
        <v>1.1764705882352942</v>
      </c>
      <c r="G27" s="49"/>
      <c r="I27" s="4"/>
      <c r="J27" s="1"/>
      <c r="K27" s="1"/>
    </row>
    <row r="28" spans="2:36" x14ac:dyDescent="0.2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6" x14ac:dyDescent="0.2">
      <c r="G29" s="49"/>
    </row>
    <row r="30" spans="2:36" x14ac:dyDescent="0.2">
      <c r="G30" s="49"/>
    </row>
    <row r="31" spans="2:36" x14ac:dyDescent="0.2">
      <c r="G31" s="49"/>
    </row>
    <row r="32" spans="2:36" x14ac:dyDescent="0.2">
      <c r="G32" s="49"/>
    </row>
    <row r="33" spans="7:7" x14ac:dyDescent="0.2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2022-11-18T21:49:27Z</dcterms:modified>
</cp:coreProperties>
</file>