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6058B39-CEEC-4375-9921-9C9176289000}" xr6:coauthVersionLast="36" xr6:coauthVersionMax="47" xr10:uidLastSave="{00000000-0000-0000-0000-000000000000}"/>
  <bookViews>
    <workbookView xWindow="-120" yWindow="-120" windowWidth="29040" windowHeight="15720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8" i="1"/>
  <c r="C26" i="1"/>
  <c r="C28" i="1"/>
  <c r="C29" i="1"/>
  <c r="C30" i="1"/>
  <c r="D33" i="1"/>
  <c r="C11" i="1"/>
  <c r="C10" i="1"/>
  <c r="C9" i="1"/>
  <c r="C7" i="1"/>
  <c r="AB46" i="3"/>
  <c r="AB44" i="3"/>
  <c r="AB43" i="3"/>
  <c r="AB42" i="3"/>
  <c r="AB41" i="3"/>
  <c r="AB39" i="3"/>
  <c r="AB38" i="3"/>
  <c r="AB37" i="3"/>
  <c r="AB36" i="3"/>
  <c r="AB34" i="3"/>
  <c r="AB33" i="3"/>
  <c r="AB32" i="3"/>
  <c r="AB31" i="3"/>
  <c r="AB7" i="3"/>
  <c r="AB6" i="3"/>
  <c r="AB3" i="3" s="1"/>
  <c r="AB17" i="3"/>
  <c r="AB16" i="3"/>
  <c r="AB15" i="3"/>
  <c r="AB13" i="3"/>
  <c r="AB19" i="3"/>
  <c r="AB18" i="3"/>
  <c r="AB14" i="3"/>
  <c r="AB21" i="3"/>
  <c r="AC60" i="2"/>
  <c r="AC59" i="2"/>
  <c r="AC147" i="2"/>
  <c r="AC146" i="2"/>
  <c r="AC149" i="2" s="1"/>
  <c r="AC142" i="2"/>
  <c r="AC141" i="2"/>
  <c r="AC140" i="2"/>
  <c r="AC137" i="2"/>
  <c r="AC138" i="2" s="1"/>
  <c r="AC134" i="2"/>
  <c r="AC132" i="2"/>
  <c r="AC131" i="2"/>
  <c r="AC128" i="2"/>
  <c r="AC127" i="2"/>
  <c r="AC129" i="2" s="1"/>
  <c r="AC124" i="2"/>
  <c r="AC125" i="2" s="1"/>
  <c r="AC122" i="2"/>
  <c r="AC119" i="2"/>
  <c r="AC106" i="2"/>
  <c r="AC89" i="2"/>
  <c r="AC75" i="2"/>
  <c r="AB12" i="3" l="1"/>
  <c r="AC150" i="2"/>
  <c r="AC148" i="2"/>
  <c r="AC52" i="2"/>
  <c r="AC44" i="2"/>
  <c r="AC144" i="2"/>
  <c r="AC39" i="2"/>
  <c r="AC38" i="2"/>
  <c r="AC37" i="2"/>
  <c r="AC36" i="2"/>
  <c r="AC32" i="2"/>
  <c r="AC31" i="2"/>
  <c r="AC30" i="2"/>
  <c r="AC26" i="2"/>
  <c r="AC21" i="2"/>
  <c r="AC23" i="2" s="1"/>
  <c r="AC19" i="2"/>
  <c r="AC16" i="2"/>
  <c r="AC11" i="2"/>
  <c r="AC18" i="2" s="1"/>
  <c r="AC9" i="2"/>
  <c r="AC43" i="2" l="1"/>
  <c r="AA17" i="3"/>
  <c r="AA21" i="3"/>
  <c r="AB144" i="2"/>
  <c r="AB137" i="2"/>
  <c r="AB132" i="2"/>
  <c r="AB131" i="2"/>
  <c r="AB128" i="2"/>
  <c r="AB127" i="2"/>
  <c r="AB129" i="2" s="1"/>
  <c r="AB124" i="2"/>
  <c r="AB125" i="2" s="1"/>
  <c r="AB140" i="2" s="1"/>
  <c r="AB122" i="2"/>
  <c r="AB106" i="2"/>
  <c r="AB119" i="2" s="1"/>
  <c r="AB75" i="2"/>
  <c r="AB89" i="2" s="1"/>
  <c r="AB43" i="2"/>
  <c r="AB52" i="2"/>
  <c r="AB44" i="2"/>
  <c r="AB39" i="2"/>
  <c r="AB38" i="2"/>
  <c r="AB37" i="2"/>
  <c r="AB36" i="2"/>
  <c r="AB32" i="2"/>
  <c r="AB26" i="2"/>
  <c r="AB19" i="2"/>
  <c r="AB16" i="2"/>
  <c r="AB9" i="2"/>
  <c r="AB11" i="2" s="1"/>
  <c r="AB18" i="2" s="1"/>
  <c r="AB21" i="2" s="1"/>
  <c r="AB23" i="2" s="1"/>
  <c r="AB138" i="2" l="1"/>
  <c r="Z16" i="3"/>
  <c r="AA16" i="3" s="1"/>
  <c r="Z13" i="3"/>
  <c r="AA13" i="3" s="1"/>
  <c r="Z8" i="3"/>
  <c r="AA8" i="3" s="1"/>
  <c r="Z7" i="3"/>
  <c r="AA7" i="3" s="1"/>
  <c r="Z6" i="3"/>
  <c r="AA6" i="3" s="1"/>
  <c r="Z4" i="3"/>
  <c r="AA4" i="3" s="1"/>
  <c r="Z21" i="3"/>
  <c r="AA137" i="2"/>
  <c r="AA132" i="2"/>
  <c r="AA131" i="2"/>
  <c r="AA129" i="2"/>
  <c r="AA128" i="2"/>
  <c r="AA127" i="2"/>
  <c r="AA106" i="2"/>
  <c r="AA119" i="2" s="1"/>
  <c r="AA122" i="2" s="1"/>
  <c r="AA75" i="2"/>
  <c r="AA89" i="2" s="1"/>
  <c r="AA52" i="2"/>
  <c r="AA44" i="2"/>
  <c r="AA32" i="2"/>
  <c r="AA26" i="2"/>
  <c r="AA19" i="2"/>
  <c r="AA9" i="2"/>
  <c r="AB31" i="2" s="1"/>
  <c r="AA11" i="2" l="1"/>
  <c r="AA18" i="2" s="1"/>
  <c r="AA37" i="2" s="1"/>
  <c r="AA144" i="2"/>
  <c r="AA44" i="3"/>
  <c r="AA43" i="3"/>
  <c r="AA3" i="3"/>
  <c r="AA138" i="2"/>
  <c r="AA124" i="2"/>
  <c r="AA125" i="2" s="1"/>
  <c r="AA43" i="2"/>
  <c r="AB60" i="2" s="1"/>
  <c r="Z3" i="3"/>
  <c r="AA36" i="2"/>
  <c r="AA21" i="2"/>
  <c r="AA34" i="3" l="1"/>
  <c r="AA33" i="3"/>
  <c r="AA140" i="2"/>
  <c r="AA23" i="2"/>
  <c r="AA38" i="2" s="1"/>
  <c r="AA39" i="2"/>
  <c r="Z137" i="2"/>
  <c r="AN121" i="2"/>
  <c r="AN118" i="2"/>
  <c r="AN117" i="2"/>
  <c r="AN116" i="2"/>
  <c r="AN115" i="2"/>
  <c r="AN114" i="2"/>
  <c r="AN113" i="2"/>
  <c r="AN112" i="2"/>
  <c r="AN111" i="2"/>
  <c r="AN110" i="2"/>
  <c r="AN107" i="2"/>
  <c r="AN105" i="2"/>
  <c r="AN104" i="2"/>
  <c r="AN103" i="2"/>
  <c r="AN102" i="2"/>
  <c r="AN101" i="2"/>
  <c r="AN100" i="2"/>
  <c r="AN99" i="2"/>
  <c r="AN97" i="2"/>
  <c r="AN96" i="2"/>
  <c r="AN95" i="2"/>
  <c r="AN93" i="2"/>
  <c r="AN92" i="2"/>
  <c r="AN91" i="2"/>
  <c r="AN88" i="2"/>
  <c r="AN87" i="2"/>
  <c r="AN86" i="2"/>
  <c r="AN85" i="2"/>
  <c r="AN84" i="2"/>
  <c r="AN83" i="2"/>
  <c r="AN82" i="2"/>
  <c r="AN81" i="2"/>
  <c r="AN80" i="2"/>
  <c r="AN79" i="2"/>
  <c r="AN77" i="2"/>
  <c r="AN74" i="2"/>
  <c r="AN73" i="2"/>
  <c r="AN72" i="2"/>
  <c r="AN71" i="2"/>
  <c r="AN69" i="2"/>
  <c r="AN68" i="2"/>
  <c r="AN67" i="2"/>
  <c r="AN66" i="2"/>
  <c r="AN65" i="2"/>
  <c r="AN109" i="2"/>
  <c r="AN108" i="2"/>
  <c r="AN98" i="2"/>
  <c r="AN94" i="2"/>
  <c r="AN128" i="2" s="1"/>
  <c r="AN78" i="2"/>
  <c r="AN76" i="2"/>
  <c r="AN70" i="2"/>
  <c r="AN64" i="2"/>
  <c r="AN63" i="2"/>
  <c r="AN127" i="2" s="1"/>
  <c r="AN129" i="2" s="1"/>
  <c r="Z132" i="2"/>
  <c r="Z131" i="2"/>
  <c r="Z128" i="2"/>
  <c r="Z127" i="2"/>
  <c r="Z129" i="2" s="1"/>
  <c r="Z106" i="2"/>
  <c r="Z119" i="2" s="1"/>
  <c r="Z122" i="2" s="1"/>
  <c r="Z75" i="2"/>
  <c r="Z89" i="2" s="1"/>
  <c r="AN55" i="2"/>
  <c r="AN54" i="2"/>
  <c r="AN53" i="2"/>
  <c r="AN50" i="2"/>
  <c r="AN49" i="2"/>
  <c r="AN48" i="2"/>
  <c r="AN47" i="2"/>
  <c r="AN46" i="2"/>
  <c r="AN45" i="2"/>
  <c r="Z52" i="2"/>
  <c r="Z44" i="2"/>
  <c r="AN10" i="2"/>
  <c r="AN12" i="2"/>
  <c r="AN13" i="2"/>
  <c r="AN14" i="2"/>
  <c r="AN15" i="2"/>
  <c r="AN16" i="2"/>
  <c r="AN17" i="2"/>
  <c r="AN20" i="2"/>
  <c r="AN27" i="2"/>
  <c r="AN26" i="2" s="1"/>
  <c r="AN142" i="2" s="1"/>
  <c r="AN3" i="2"/>
  <c r="AN2" i="2"/>
  <c r="AN8" i="2"/>
  <c r="AN7" i="2"/>
  <c r="AN6" i="2"/>
  <c r="AN5" i="2"/>
  <c r="AN4" i="2"/>
  <c r="Z32" i="2"/>
  <c r="Z26" i="2"/>
  <c r="Z19" i="2"/>
  <c r="Z9" i="2"/>
  <c r="AA31" i="2" s="1"/>
  <c r="AN137" i="2" l="1"/>
  <c r="AN138" i="2" s="1"/>
  <c r="AN9" i="2"/>
  <c r="AO9" i="2" s="1"/>
  <c r="AO30" i="2" s="1"/>
  <c r="Z11" i="2"/>
  <c r="Z36" i="2" s="1"/>
  <c r="AN106" i="2"/>
  <c r="AN119" i="2" s="1"/>
  <c r="AN122" i="2" s="1"/>
  <c r="Z144" i="2"/>
  <c r="Z30" i="2"/>
  <c r="AN52" i="2"/>
  <c r="AN134" i="2"/>
  <c r="AN141" i="2"/>
  <c r="AN11" i="2"/>
  <c r="Z124" i="2"/>
  <c r="Z125" i="2" s="1"/>
  <c r="Z140" i="2" s="1"/>
  <c r="Z138" i="2"/>
  <c r="AN75" i="2"/>
  <c r="AN89" i="2" s="1"/>
  <c r="AN44" i="2"/>
  <c r="Z43" i="2"/>
  <c r="AA60" i="2" s="1"/>
  <c r="Y18" i="3"/>
  <c r="Z18" i="3" s="1"/>
  <c r="AA18" i="3" s="1"/>
  <c r="Y19" i="3"/>
  <c r="Z19" i="3" s="1"/>
  <c r="AA19" i="3" s="1"/>
  <c r="Y15" i="3"/>
  <c r="Z15" i="3" s="1"/>
  <c r="AA15" i="3" s="1"/>
  <c r="Y14" i="3"/>
  <c r="Y3" i="3"/>
  <c r="Y21" i="3"/>
  <c r="Y12" i="3" l="1"/>
  <c r="Z14" i="3"/>
  <c r="AN144" i="2"/>
  <c r="Z18" i="2"/>
  <c r="AN124" i="2"/>
  <c r="AN125" i="2" s="1"/>
  <c r="AN140" i="2" s="1"/>
  <c r="Z43" i="3"/>
  <c r="Z44" i="3"/>
  <c r="Z34" i="3"/>
  <c r="Z33" i="3"/>
  <c r="AN43" i="2"/>
  <c r="AN18" i="2"/>
  <c r="AN36" i="2"/>
  <c r="Y46" i="3"/>
  <c r="Z37" i="2" l="1"/>
  <c r="Z21" i="2"/>
  <c r="AA14" i="3"/>
  <c r="AA12" i="3" s="1"/>
  <c r="Z12" i="3"/>
  <c r="AN37" i="2"/>
  <c r="Y137" i="2"/>
  <c r="Y132" i="2"/>
  <c r="Y131" i="2"/>
  <c r="Y128" i="2"/>
  <c r="Y127" i="2"/>
  <c r="Y106" i="2"/>
  <c r="Y119" i="2" s="1"/>
  <c r="Y122" i="2" s="1"/>
  <c r="Y75" i="2"/>
  <c r="Y89" i="2" s="1"/>
  <c r="Y52" i="2"/>
  <c r="Y44" i="2"/>
  <c r="Y32" i="2"/>
  <c r="Y26" i="2"/>
  <c r="Y19" i="2"/>
  <c r="Y9" i="2"/>
  <c r="X21" i="3"/>
  <c r="X12" i="3"/>
  <c r="X3" i="3"/>
  <c r="Z46" i="3" l="1"/>
  <c r="Z39" i="3"/>
  <c r="Z38" i="3"/>
  <c r="AB134" i="2"/>
  <c r="AB141" i="2"/>
  <c r="AA46" i="3"/>
  <c r="AA39" i="3"/>
  <c r="AA38" i="3"/>
  <c r="Z23" i="2"/>
  <c r="Z38" i="2" s="1"/>
  <c r="Z39" i="2"/>
  <c r="AB142" i="2"/>
  <c r="Y124" i="2"/>
  <c r="Y125" i="2" s="1"/>
  <c r="Y140" i="2" s="1"/>
  <c r="Y129" i="2"/>
  <c r="Y138" i="2" s="1"/>
  <c r="Y11" i="2"/>
  <c r="Y18" i="2" s="1"/>
  <c r="Y21" i="2" s="1"/>
  <c r="Y23" i="2" s="1"/>
  <c r="Z31" i="2"/>
  <c r="Y43" i="3"/>
  <c r="Y44" i="3"/>
  <c r="Y30" i="2"/>
  <c r="Y144" i="2"/>
  <c r="Y34" i="3"/>
  <c r="Y33" i="3"/>
  <c r="Y38" i="3"/>
  <c r="Y39" i="3"/>
  <c r="Y36" i="2"/>
  <c r="X46" i="3"/>
  <c r="Y43" i="2"/>
  <c r="Z60" i="2" s="1"/>
  <c r="X137" i="2"/>
  <c r="X132" i="2"/>
  <c r="X131" i="2"/>
  <c r="X128" i="2"/>
  <c r="X127" i="2"/>
  <c r="X106" i="2"/>
  <c r="X119" i="2" s="1"/>
  <c r="X122" i="2" s="1"/>
  <c r="X75" i="2"/>
  <c r="X89" i="2" s="1"/>
  <c r="X52" i="2"/>
  <c r="X44" i="2"/>
  <c r="X32" i="2"/>
  <c r="X26" i="2"/>
  <c r="X19" i="2"/>
  <c r="X9" i="2"/>
  <c r="W21" i="3"/>
  <c r="W12" i="3"/>
  <c r="X38" i="3" s="1"/>
  <c r="W3" i="3"/>
  <c r="AA36" i="3" l="1"/>
  <c r="X34" i="3"/>
  <c r="AA32" i="3"/>
  <c r="AA31" i="3"/>
  <c r="AA37" i="3"/>
  <c r="X43" i="3"/>
  <c r="AA42" i="3"/>
  <c r="AA41" i="3"/>
  <c r="Y38" i="2"/>
  <c r="AB147" i="2"/>
  <c r="AB146" i="2"/>
  <c r="X33" i="3"/>
  <c r="AB30" i="2"/>
  <c r="AA141" i="2"/>
  <c r="AA134" i="2"/>
  <c r="X124" i="2"/>
  <c r="X125" i="2" s="1"/>
  <c r="AA142" i="2"/>
  <c r="X44" i="3"/>
  <c r="Y39" i="2"/>
  <c r="Y37" i="2"/>
  <c r="X30" i="2"/>
  <c r="Z141" i="2"/>
  <c r="Y31" i="2"/>
  <c r="X39" i="3"/>
  <c r="X129" i="2"/>
  <c r="X144" i="2"/>
  <c r="W46" i="3"/>
  <c r="X138" i="2"/>
  <c r="X140" i="2"/>
  <c r="X43" i="2"/>
  <c r="X11" i="2"/>
  <c r="W137" i="2"/>
  <c r="W132" i="2"/>
  <c r="W131" i="2"/>
  <c r="W128" i="2"/>
  <c r="W127" i="2"/>
  <c r="W106" i="2"/>
  <c r="W119" i="2" s="1"/>
  <c r="W122" i="2" s="1"/>
  <c r="W75" i="2"/>
  <c r="W89" i="2" s="1"/>
  <c r="W26" i="2"/>
  <c r="Z142" i="2" s="1"/>
  <c r="W32" i="2"/>
  <c r="W19" i="2"/>
  <c r="AN19" i="2" s="1"/>
  <c r="AN21" i="2" s="1"/>
  <c r="W9" i="2"/>
  <c r="AA30" i="2" s="1"/>
  <c r="W52" i="2"/>
  <c r="W44" i="2"/>
  <c r="V21" i="3"/>
  <c r="V12" i="3"/>
  <c r="V3" i="3"/>
  <c r="AN23" i="2" l="1"/>
  <c r="AN39" i="2"/>
  <c r="AB150" i="2"/>
  <c r="AB148" i="2"/>
  <c r="AB149" i="2"/>
  <c r="Y60" i="2"/>
  <c r="AB59" i="2"/>
  <c r="Z134" i="2"/>
  <c r="Z31" i="3"/>
  <c r="Z32" i="3"/>
  <c r="Z36" i="3"/>
  <c r="Z37" i="3"/>
  <c r="W43" i="3"/>
  <c r="Z41" i="3"/>
  <c r="Z42" i="3"/>
  <c r="Y134" i="2"/>
  <c r="Y141" i="2"/>
  <c r="X141" i="2"/>
  <c r="X134" i="2"/>
  <c r="W11" i="2"/>
  <c r="W18" i="2" s="1"/>
  <c r="W21" i="2" s="1"/>
  <c r="W23" i="2" s="1"/>
  <c r="X31" i="2"/>
  <c r="W124" i="2"/>
  <c r="W125" i="2" s="1"/>
  <c r="W140" i="2" s="1"/>
  <c r="W129" i="2"/>
  <c r="X18" i="2"/>
  <c r="X36" i="2"/>
  <c r="V46" i="3"/>
  <c r="W34" i="3"/>
  <c r="W33" i="3"/>
  <c r="W144" i="2"/>
  <c r="W38" i="3"/>
  <c r="W31" i="2"/>
  <c r="W39" i="3"/>
  <c r="W141" i="2"/>
  <c r="W30" i="2"/>
  <c r="W134" i="2"/>
  <c r="W36" i="2"/>
  <c r="W44" i="3"/>
  <c r="W43" i="2"/>
  <c r="AM136" i="2"/>
  <c r="AM121" i="2"/>
  <c r="AM109" i="2"/>
  <c r="AM118" i="2"/>
  <c r="AM117" i="2"/>
  <c r="AM116" i="2"/>
  <c r="AM115" i="2"/>
  <c r="AM114" i="2"/>
  <c r="AM113" i="2"/>
  <c r="AM112" i="2"/>
  <c r="AM111" i="2"/>
  <c r="AM110" i="2"/>
  <c r="AM107" i="2"/>
  <c r="AM105" i="2"/>
  <c r="AM104" i="2"/>
  <c r="AM103" i="2"/>
  <c r="AM102" i="2"/>
  <c r="AM101" i="2"/>
  <c r="AM100" i="2"/>
  <c r="AM99" i="2"/>
  <c r="AM97" i="2"/>
  <c r="AM96" i="2"/>
  <c r="AM95" i="2"/>
  <c r="AM93" i="2"/>
  <c r="AM92" i="2"/>
  <c r="AM91" i="2"/>
  <c r="AL114" i="2"/>
  <c r="AK114" i="2"/>
  <c r="AJ114" i="2"/>
  <c r="AI114" i="2"/>
  <c r="AM88" i="2"/>
  <c r="AM87" i="2"/>
  <c r="AM86" i="2"/>
  <c r="AM85" i="2"/>
  <c r="AM84" i="2"/>
  <c r="AM83" i="2"/>
  <c r="AM82" i="2"/>
  <c r="AM81" i="2"/>
  <c r="AM80" i="2"/>
  <c r="AM79" i="2"/>
  <c r="AM77" i="2"/>
  <c r="AM108" i="2"/>
  <c r="AM98" i="2"/>
  <c r="AM94" i="2"/>
  <c r="AM78" i="2"/>
  <c r="AM76" i="2"/>
  <c r="V75" i="2"/>
  <c r="V89" i="2" s="1"/>
  <c r="AM74" i="2"/>
  <c r="AM73" i="2"/>
  <c r="AM72" i="2"/>
  <c r="AM71" i="2"/>
  <c r="AM70" i="2"/>
  <c r="AN131" i="2" s="1"/>
  <c r="AM69" i="2"/>
  <c r="AM68" i="2"/>
  <c r="AM67" i="2"/>
  <c r="AM66" i="2"/>
  <c r="AM65" i="2"/>
  <c r="AM64" i="2"/>
  <c r="AM63" i="2"/>
  <c r="V141" i="2"/>
  <c r="V137" i="2"/>
  <c r="V134" i="2"/>
  <c r="V132" i="2"/>
  <c r="V131" i="2"/>
  <c r="V128" i="2"/>
  <c r="V127" i="2"/>
  <c r="V106" i="2"/>
  <c r="V119" i="2" s="1"/>
  <c r="V122" i="2" s="1"/>
  <c r="V144" i="2"/>
  <c r="AM26" i="2"/>
  <c r="AM17" i="2"/>
  <c r="AM15" i="2"/>
  <c r="AM14" i="2"/>
  <c r="AM13" i="2"/>
  <c r="AM10" i="2"/>
  <c r="AM9" i="2"/>
  <c r="V32" i="2"/>
  <c r="V31" i="2"/>
  <c r="V30" i="2"/>
  <c r="V26" i="2"/>
  <c r="Y142" i="2" s="1"/>
  <c r="V19" i="2"/>
  <c r="V11" i="2"/>
  <c r="V18" i="2" s="1"/>
  <c r="V37" i="2" s="1"/>
  <c r="AM53" i="2"/>
  <c r="AM55" i="2"/>
  <c r="AM54" i="2"/>
  <c r="V52" i="2"/>
  <c r="AM50" i="2"/>
  <c r="AM49" i="2"/>
  <c r="AM48" i="2"/>
  <c r="AM47" i="2"/>
  <c r="AM46" i="2"/>
  <c r="AM45" i="2"/>
  <c r="V44" i="2"/>
  <c r="AM3" i="2"/>
  <c r="AM2" i="2"/>
  <c r="AM8" i="2"/>
  <c r="AM7" i="2"/>
  <c r="AM6" i="2"/>
  <c r="AM5" i="2"/>
  <c r="AM4" i="2"/>
  <c r="AM32" i="2" l="1"/>
  <c r="AN32" i="2"/>
  <c r="AN38" i="2"/>
  <c r="AN147" i="2"/>
  <c r="AN146" i="2"/>
  <c r="X60" i="2"/>
  <c r="AA59" i="2"/>
  <c r="W38" i="2"/>
  <c r="W39" i="2"/>
  <c r="W37" i="2"/>
  <c r="X21" i="2"/>
  <c r="X37" i="2"/>
  <c r="AM30" i="2"/>
  <c r="AN30" i="2"/>
  <c r="W138" i="2"/>
  <c r="AM144" i="2"/>
  <c r="AM128" i="2"/>
  <c r="AM44" i="2"/>
  <c r="AM106" i="2"/>
  <c r="AM119" i="2" s="1"/>
  <c r="AM122" i="2" s="1"/>
  <c r="AM142" i="2"/>
  <c r="AM137" i="2"/>
  <c r="AM141" i="2" s="1"/>
  <c r="AM127" i="2"/>
  <c r="AM11" i="2"/>
  <c r="AM36" i="2" s="1"/>
  <c r="AM134" i="2"/>
  <c r="V43" i="2"/>
  <c r="V124" i="2"/>
  <c r="V125" i="2" s="1"/>
  <c r="V129" i="2"/>
  <c r="AM75" i="2"/>
  <c r="AM89" i="2" s="1"/>
  <c r="V21" i="2"/>
  <c r="V36" i="2"/>
  <c r="AM52" i="2"/>
  <c r="AN148" i="2" l="1"/>
  <c r="AN149" i="2"/>
  <c r="AN150" i="2"/>
  <c r="W60" i="2"/>
  <c r="Z59" i="2"/>
  <c r="X23" i="2"/>
  <c r="X39" i="2"/>
  <c r="AM129" i="2"/>
  <c r="AM138" i="2" s="1"/>
  <c r="AM43" i="2"/>
  <c r="AN59" i="2" s="1"/>
  <c r="AM18" i="2"/>
  <c r="AM37" i="2" s="1"/>
  <c r="AM124" i="2"/>
  <c r="AM125" i="2" s="1"/>
  <c r="AM140" i="2" s="1"/>
  <c r="V138" i="2"/>
  <c r="V140" i="2"/>
  <c r="V23" i="2"/>
  <c r="V39" i="2"/>
  <c r="U21" i="3"/>
  <c r="U12" i="3"/>
  <c r="U3" i="3"/>
  <c r="AA147" i="2" l="1"/>
  <c r="AA146" i="2"/>
  <c r="X38" i="2"/>
  <c r="Z146" i="2"/>
  <c r="Z150" i="2" s="1"/>
  <c r="Z147" i="2"/>
  <c r="U46" i="3"/>
  <c r="Y32" i="3"/>
  <c r="Y31" i="3"/>
  <c r="Y37" i="3"/>
  <c r="Y36" i="3"/>
  <c r="V38" i="2"/>
  <c r="Y147" i="2"/>
  <c r="Y146" i="2"/>
  <c r="Y42" i="3"/>
  <c r="Y41" i="3"/>
  <c r="AM21" i="2"/>
  <c r="AM23" i="2" s="1"/>
  <c r="AM146" i="2" s="1"/>
  <c r="V39" i="3"/>
  <c r="V38" i="3"/>
  <c r="V44" i="3"/>
  <c r="V43" i="3"/>
  <c r="V33" i="3"/>
  <c r="V34" i="3"/>
  <c r="U144" i="2"/>
  <c r="U141" i="2"/>
  <c r="U137" i="2"/>
  <c r="U134" i="2"/>
  <c r="U132" i="2"/>
  <c r="U131" i="2"/>
  <c r="U128" i="2"/>
  <c r="U127" i="2"/>
  <c r="U106" i="2"/>
  <c r="U119" i="2" s="1"/>
  <c r="U122" i="2" s="1"/>
  <c r="U75" i="2"/>
  <c r="U89" i="2" s="1"/>
  <c r="U52" i="2"/>
  <c r="U44" i="2"/>
  <c r="U26" i="2"/>
  <c r="U19" i="2"/>
  <c r="U11" i="2"/>
  <c r="U36" i="2" s="1"/>
  <c r="U32" i="2"/>
  <c r="U31" i="2"/>
  <c r="U30" i="2"/>
  <c r="AA150" i="2" l="1"/>
  <c r="AA148" i="2"/>
  <c r="AA149" i="2"/>
  <c r="Z149" i="2"/>
  <c r="Z148" i="2"/>
  <c r="Y149" i="2"/>
  <c r="Y150" i="2"/>
  <c r="Y148" i="2"/>
  <c r="X142" i="2"/>
  <c r="AM147" i="2"/>
  <c r="AM38" i="2"/>
  <c r="AM39" i="2"/>
  <c r="AM150" i="2"/>
  <c r="AM149" i="2"/>
  <c r="AM148" i="2"/>
  <c r="U129" i="2"/>
  <c r="U138" i="2" s="1"/>
  <c r="U124" i="2"/>
  <c r="U125" i="2" s="1"/>
  <c r="U140" i="2" s="1"/>
  <c r="U18" i="2"/>
  <c r="U43" i="2"/>
  <c r="T21" i="3"/>
  <c r="AD21" i="3"/>
  <c r="T12" i="3"/>
  <c r="T3" i="3"/>
  <c r="X41" i="3" l="1"/>
  <c r="X42" i="3"/>
  <c r="X31" i="3"/>
  <c r="X32" i="3"/>
  <c r="V60" i="2"/>
  <c r="Y59" i="2"/>
  <c r="X36" i="3"/>
  <c r="X37" i="3"/>
  <c r="U38" i="3"/>
  <c r="U39" i="3"/>
  <c r="U44" i="3"/>
  <c r="U43" i="3"/>
  <c r="U34" i="3"/>
  <c r="T46" i="3"/>
  <c r="U33" i="3"/>
  <c r="U21" i="2"/>
  <c r="U37" i="2"/>
  <c r="AE21" i="3"/>
  <c r="AE42" i="3" s="1"/>
  <c r="AE12" i="3"/>
  <c r="AD12" i="3"/>
  <c r="AE3" i="3"/>
  <c r="AD3" i="3"/>
  <c r="AF144" i="2"/>
  <c r="AE144" i="2"/>
  <c r="AF137" i="2"/>
  <c r="AE137" i="2"/>
  <c r="AE141" i="2" s="1"/>
  <c r="AF134" i="2"/>
  <c r="AE134" i="2"/>
  <c r="AG131" i="2"/>
  <c r="AF131" i="2"/>
  <c r="AF128" i="2"/>
  <c r="AE128" i="2"/>
  <c r="AF127" i="2"/>
  <c r="AE127" i="2"/>
  <c r="AE106" i="2"/>
  <c r="AE119" i="2" s="1"/>
  <c r="AE122" i="2" s="1"/>
  <c r="AF106" i="2"/>
  <c r="AF119" i="2" s="1"/>
  <c r="AF122" i="2" s="1"/>
  <c r="AE75" i="2"/>
  <c r="AE89" i="2" s="1"/>
  <c r="AF75" i="2"/>
  <c r="AF89" i="2" s="1"/>
  <c r="AG32" i="2"/>
  <c r="AF32" i="2"/>
  <c r="AG30" i="2"/>
  <c r="AF30" i="2"/>
  <c r="AE26" i="2"/>
  <c r="AE142" i="2" s="1"/>
  <c r="AF26" i="2"/>
  <c r="AF142" i="2" s="1"/>
  <c r="AF11" i="2"/>
  <c r="AF18" i="2" s="1"/>
  <c r="AE11" i="2"/>
  <c r="AE18" i="2" s="1"/>
  <c r="AF52" i="2"/>
  <c r="AE52" i="2"/>
  <c r="AF44" i="2"/>
  <c r="AE44" i="2"/>
  <c r="AD46" i="3" l="1"/>
  <c r="AE46" i="3"/>
  <c r="AE37" i="3"/>
  <c r="AE32" i="3"/>
  <c r="AE36" i="3"/>
  <c r="AE41" i="3"/>
  <c r="AE124" i="2"/>
  <c r="AE125" i="2" s="1"/>
  <c r="AE140" i="2" s="1"/>
  <c r="AE36" i="2"/>
  <c r="AE129" i="2"/>
  <c r="AE138" i="2" s="1"/>
  <c r="U23" i="2"/>
  <c r="U39" i="2"/>
  <c r="AF129" i="2"/>
  <c r="AF138" i="2" s="1"/>
  <c r="AE31" i="3"/>
  <c r="AF124" i="2"/>
  <c r="AF125" i="2" s="1"/>
  <c r="AF140" i="2" s="1"/>
  <c r="AE21" i="2"/>
  <c r="AE37" i="2"/>
  <c r="AF21" i="2"/>
  <c r="AF37" i="2"/>
  <c r="AF36" i="2"/>
  <c r="AF141" i="2"/>
  <c r="AE43" i="2"/>
  <c r="AF43" i="2"/>
  <c r="U38" i="2" l="1"/>
  <c r="X147" i="2"/>
  <c r="X146" i="2"/>
  <c r="AF39" i="2"/>
  <c r="AF23" i="2"/>
  <c r="AE23" i="2"/>
  <c r="AE39" i="2"/>
  <c r="AF59" i="2"/>
  <c r="X149" i="2" l="1"/>
  <c r="X150" i="2"/>
  <c r="X148" i="2"/>
  <c r="AE146" i="2"/>
  <c r="AE147" i="2"/>
  <c r="AE38" i="2"/>
  <c r="AF146" i="2"/>
  <c r="AF147" i="2"/>
  <c r="AF38" i="2"/>
  <c r="AH144" i="2"/>
  <c r="AG144" i="2"/>
  <c r="AH137" i="2"/>
  <c r="AH141" i="2" s="1"/>
  <c r="AG137" i="2"/>
  <c r="AG141" i="2" s="1"/>
  <c r="AI105" i="2"/>
  <c r="AI104" i="2"/>
  <c r="AI103" i="2"/>
  <c r="AI102" i="2"/>
  <c r="AI101" i="2"/>
  <c r="AI100" i="2"/>
  <c r="AI99" i="2"/>
  <c r="AI118" i="2"/>
  <c r="AI117" i="2"/>
  <c r="AI116" i="2"/>
  <c r="AI115" i="2"/>
  <c r="AI113" i="2"/>
  <c r="AI110" i="2"/>
  <c r="AI111" i="2"/>
  <c r="AI112" i="2"/>
  <c r="AI121" i="2"/>
  <c r="AI91" i="2"/>
  <c r="AH93" i="2"/>
  <c r="AG93" i="2"/>
  <c r="AG92" i="2"/>
  <c r="AI93" i="2"/>
  <c r="AI92" i="2"/>
  <c r="AH92" i="2"/>
  <c r="AI107" i="2"/>
  <c r="AI97" i="2"/>
  <c r="AI96" i="2"/>
  <c r="AI95" i="2"/>
  <c r="AI88" i="2"/>
  <c r="AI87" i="2"/>
  <c r="AI86" i="2"/>
  <c r="AI85" i="2"/>
  <c r="AI84" i="2"/>
  <c r="AI83" i="2"/>
  <c r="AI82" i="2"/>
  <c r="AI81" i="2"/>
  <c r="AI80" i="2"/>
  <c r="AI79" i="2"/>
  <c r="AI77" i="2"/>
  <c r="AI74" i="2"/>
  <c r="AI73" i="2"/>
  <c r="AI72" i="2"/>
  <c r="AI71" i="2"/>
  <c r="AI69" i="2"/>
  <c r="AI68" i="2"/>
  <c r="AI67" i="2"/>
  <c r="AI66" i="2"/>
  <c r="AI65" i="2"/>
  <c r="AI109" i="2"/>
  <c r="AI108" i="2"/>
  <c r="AI98" i="2"/>
  <c r="AI94" i="2"/>
  <c r="AI78" i="2"/>
  <c r="AI76" i="2"/>
  <c r="AI70" i="2"/>
  <c r="AI131" i="2" s="1"/>
  <c r="AI64" i="2"/>
  <c r="AI63" i="2"/>
  <c r="AI144" i="2"/>
  <c r="AI136" i="2"/>
  <c r="AH134" i="2"/>
  <c r="AG134" i="2"/>
  <c r="AH131" i="2"/>
  <c r="AH128" i="2"/>
  <c r="AG128" i="2"/>
  <c r="AH127" i="2"/>
  <c r="AG127" i="2"/>
  <c r="AH105" i="2"/>
  <c r="AG105" i="2"/>
  <c r="AH75" i="2"/>
  <c r="AH89" i="2" s="1"/>
  <c r="AG75" i="2"/>
  <c r="AG89" i="2" s="1"/>
  <c r="AI30" i="2"/>
  <c r="AH30" i="2"/>
  <c r="AI32" i="2"/>
  <c r="AH32" i="2"/>
  <c r="AG26" i="2"/>
  <c r="AG142" i="2" s="1"/>
  <c r="AG11" i="2"/>
  <c r="AG36" i="2" s="1"/>
  <c r="AH26" i="2"/>
  <c r="AH142" i="2" s="1"/>
  <c r="AH11" i="2"/>
  <c r="AH18" i="2" s="1"/>
  <c r="AH21" i="2" s="1"/>
  <c r="AH52" i="2"/>
  <c r="AG52" i="2"/>
  <c r="AH44" i="2"/>
  <c r="AG44" i="2"/>
  <c r="AG21" i="3"/>
  <c r="AF21" i="3"/>
  <c r="AG12" i="3"/>
  <c r="AF12" i="3"/>
  <c r="AG3" i="3"/>
  <c r="AF3" i="3"/>
  <c r="AH21" i="3"/>
  <c r="AH12" i="3"/>
  <c r="AH3" i="3"/>
  <c r="E21" i="3"/>
  <c r="D21" i="3"/>
  <c r="C21" i="3"/>
  <c r="B21" i="3"/>
  <c r="E12" i="3"/>
  <c r="D12" i="3"/>
  <c r="C12" i="3"/>
  <c r="B12" i="3"/>
  <c r="E3" i="3"/>
  <c r="D3" i="3"/>
  <c r="C3" i="3"/>
  <c r="B3" i="3"/>
  <c r="AI21" i="3"/>
  <c r="AI12" i="3"/>
  <c r="AI3" i="3"/>
  <c r="AJ21" i="3"/>
  <c r="AJ12" i="3"/>
  <c r="AJ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G12" i="3"/>
  <c r="G46" i="3" s="1"/>
  <c r="F12" i="3"/>
  <c r="L3" i="3"/>
  <c r="K3" i="3"/>
  <c r="J3" i="3"/>
  <c r="I3" i="3"/>
  <c r="H3" i="3"/>
  <c r="G3" i="3"/>
  <c r="F3" i="3"/>
  <c r="M3" i="3"/>
  <c r="AK21" i="3"/>
  <c r="AK12" i="3"/>
  <c r="AK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I1" i="3"/>
  <c r="AJ1" i="3" s="1"/>
  <c r="AK1" i="3" s="1"/>
  <c r="AL1" i="3" s="1"/>
  <c r="AM1" i="3" s="1"/>
  <c r="AN1" i="3" s="1"/>
  <c r="AO1" i="3" s="1"/>
  <c r="R21" i="3"/>
  <c r="R12" i="3"/>
  <c r="R3" i="3"/>
  <c r="K141" i="2"/>
  <c r="J141" i="2"/>
  <c r="I141" i="2"/>
  <c r="H141" i="2"/>
  <c r="G137" i="2"/>
  <c r="F137" i="2"/>
  <c r="E137" i="2"/>
  <c r="D137" i="2"/>
  <c r="C137" i="2"/>
  <c r="J134" i="2"/>
  <c r="I134" i="2"/>
  <c r="H134" i="2"/>
  <c r="G134" i="2"/>
  <c r="H131" i="2"/>
  <c r="G131" i="2"/>
  <c r="E132" i="2"/>
  <c r="D132" i="2"/>
  <c r="D128" i="2"/>
  <c r="C128" i="2"/>
  <c r="D127" i="2"/>
  <c r="C127" i="2"/>
  <c r="C106" i="2"/>
  <c r="C119" i="2" s="1"/>
  <c r="C122" i="2" s="1"/>
  <c r="D106" i="2"/>
  <c r="D119" i="2" s="1"/>
  <c r="D122" i="2" s="1"/>
  <c r="D144" i="2"/>
  <c r="C75" i="2"/>
  <c r="C89" i="2" s="1"/>
  <c r="D75" i="2"/>
  <c r="D89" i="2" s="1"/>
  <c r="E32" i="2"/>
  <c r="D32" i="2"/>
  <c r="E31" i="2"/>
  <c r="D31" i="2"/>
  <c r="D26" i="2"/>
  <c r="D11" i="2"/>
  <c r="D36" i="2" s="1"/>
  <c r="H46" i="3" l="1"/>
  <c r="B46" i="3"/>
  <c r="AH31" i="3"/>
  <c r="AF46" i="3"/>
  <c r="F46" i="3"/>
  <c r="AG46" i="3"/>
  <c r="W36" i="3"/>
  <c r="W37" i="3"/>
  <c r="AJ46" i="3"/>
  <c r="O46" i="3"/>
  <c r="C46" i="3"/>
  <c r="AH46" i="3"/>
  <c r="W42" i="3"/>
  <c r="W41" i="3"/>
  <c r="V31" i="3"/>
  <c r="V32" i="3"/>
  <c r="J46" i="3"/>
  <c r="AI46" i="3"/>
  <c r="D46" i="3"/>
  <c r="E46" i="3"/>
  <c r="W32" i="3"/>
  <c r="W31" i="3"/>
  <c r="AK46" i="3"/>
  <c r="L46" i="3"/>
  <c r="AG106" i="2"/>
  <c r="AG119" i="2" s="1"/>
  <c r="AG122" i="2" s="1"/>
  <c r="AH106" i="2"/>
  <c r="AH119" i="2" s="1"/>
  <c r="AH124" i="2" s="1"/>
  <c r="AH125" i="2" s="1"/>
  <c r="AH140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I128" i="2"/>
  <c r="AH36" i="2"/>
  <c r="T31" i="3"/>
  <c r="T32" i="3"/>
  <c r="T36" i="3"/>
  <c r="T37" i="3"/>
  <c r="T41" i="3"/>
  <c r="T42" i="3"/>
  <c r="AH37" i="3"/>
  <c r="AG18" i="2"/>
  <c r="AG21" i="2" s="1"/>
  <c r="AG23" i="2" s="1"/>
  <c r="AG38" i="2" s="1"/>
  <c r="AI127" i="2"/>
  <c r="AH42" i="3"/>
  <c r="AH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F32" i="3"/>
  <c r="AF31" i="3"/>
  <c r="AG31" i="3"/>
  <c r="E33" i="3"/>
  <c r="E34" i="3"/>
  <c r="AF36" i="3"/>
  <c r="AF37" i="3"/>
  <c r="C33" i="3"/>
  <c r="C34" i="3"/>
  <c r="AG37" i="3"/>
  <c r="F33" i="3"/>
  <c r="F31" i="3"/>
  <c r="F34" i="3"/>
  <c r="F32" i="3"/>
  <c r="AF42" i="3"/>
  <c r="AF41" i="3"/>
  <c r="G33" i="3"/>
  <c r="G31" i="3"/>
  <c r="G32" i="3"/>
  <c r="G34" i="3"/>
  <c r="AG42" i="3"/>
  <c r="AH39" i="2"/>
  <c r="AH23" i="2"/>
  <c r="AI75" i="2"/>
  <c r="AH37" i="2"/>
  <c r="AI137" i="2"/>
  <c r="AI141" i="2" s="1"/>
  <c r="AI134" i="2"/>
  <c r="AG129" i="2"/>
  <c r="AG138" i="2" s="1"/>
  <c r="AH129" i="2"/>
  <c r="AH138" i="2" s="1"/>
  <c r="AF149" i="2"/>
  <c r="AF150" i="2"/>
  <c r="AF148" i="2"/>
  <c r="AE148" i="2"/>
  <c r="AE149" i="2"/>
  <c r="AE150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G32" i="3"/>
  <c r="AH32" i="3"/>
  <c r="AG36" i="3"/>
  <c r="AH36" i="3"/>
  <c r="R37" i="3"/>
  <c r="P43" i="3"/>
  <c r="AG41" i="3"/>
  <c r="AH41" i="3"/>
  <c r="AG124" i="2"/>
  <c r="AG125" i="2" s="1"/>
  <c r="AG140" i="2" s="1"/>
  <c r="AG43" i="2"/>
  <c r="D18" i="2"/>
  <c r="D37" i="2" s="1"/>
  <c r="C129" i="2"/>
  <c r="C138" i="2" s="1"/>
  <c r="D129" i="2"/>
  <c r="D138" i="2" s="1"/>
  <c r="AK42" i="3"/>
  <c r="AI37" i="3"/>
  <c r="R39" i="3"/>
  <c r="M42" i="3"/>
  <c r="S39" i="3"/>
  <c r="AJ32" i="3"/>
  <c r="S44" i="3"/>
  <c r="AJ37" i="3"/>
  <c r="M37" i="3"/>
  <c r="Q42" i="3"/>
  <c r="P39" i="3"/>
  <c r="AJ42" i="3"/>
  <c r="AI32" i="3"/>
  <c r="Q44" i="3"/>
  <c r="S37" i="3"/>
  <c r="R44" i="3"/>
  <c r="AI42" i="3"/>
  <c r="Q34" i="3"/>
  <c r="AK37" i="3"/>
  <c r="Q37" i="3"/>
  <c r="AK32" i="3"/>
  <c r="S34" i="3"/>
  <c r="P34" i="3"/>
  <c r="Q39" i="3"/>
  <c r="S42" i="3"/>
  <c r="R42" i="3"/>
  <c r="P44" i="3"/>
  <c r="AI41" i="3"/>
  <c r="Q43" i="3"/>
  <c r="S38" i="3"/>
  <c r="M31" i="3"/>
  <c r="AJ31" i="3"/>
  <c r="P33" i="3"/>
  <c r="S41" i="3"/>
  <c r="AJ36" i="3"/>
  <c r="Q32" i="3"/>
  <c r="R31" i="3"/>
  <c r="P38" i="3"/>
  <c r="M32" i="3"/>
  <c r="R34" i="3"/>
  <c r="AJ41" i="3"/>
  <c r="AI31" i="3"/>
  <c r="AI36" i="3"/>
  <c r="M41" i="3"/>
  <c r="Q31" i="3"/>
  <c r="Q38" i="3"/>
  <c r="S33" i="3"/>
  <c r="AK41" i="3"/>
  <c r="Q36" i="3"/>
  <c r="M36" i="3"/>
  <c r="S43" i="3"/>
  <c r="R41" i="3"/>
  <c r="AK31" i="3"/>
  <c r="R38" i="3"/>
  <c r="AK36" i="3"/>
  <c r="R33" i="3"/>
  <c r="Q41" i="3"/>
  <c r="R43" i="3"/>
  <c r="S31" i="3"/>
  <c r="R36" i="3"/>
  <c r="S36" i="3"/>
  <c r="Q33" i="3"/>
  <c r="D124" i="2"/>
  <c r="D125" i="2" s="1"/>
  <c r="D140" i="2" s="1"/>
  <c r="C124" i="2"/>
  <c r="C125" i="2" s="1"/>
  <c r="C140" i="2" s="1"/>
  <c r="F132" i="2"/>
  <c r="AH122" i="2" l="1"/>
  <c r="D21" i="2"/>
  <c r="AG39" i="2"/>
  <c r="AG37" i="2"/>
  <c r="AI129" i="2"/>
  <c r="AI138" i="2" s="1"/>
  <c r="AG147" i="2"/>
  <c r="AG146" i="2"/>
  <c r="AG150" i="2" s="1"/>
  <c r="AH59" i="2"/>
  <c r="AG59" i="2"/>
  <c r="AH147" i="2"/>
  <c r="AH146" i="2"/>
  <c r="AH38" i="2"/>
  <c r="D39" i="2"/>
  <c r="D23" i="2"/>
  <c r="I131" i="2"/>
  <c r="E128" i="2"/>
  <c r="E127" i="2"/>
  <c r="E106" i="2"/>
  <c r="E119" i="2" s="1"/>
  <c r="E122" i="2" s="1"/>
  <c r="E75" i="2"/>
  <c r="E89" i="2" s="1"/>
  <c r="AG149" i="2" l="1"/>
  <c r="AG148" i="2"/>
  <c r="E129" i="2"/>
  <c r="E138" i="2" s="1"/>
  <c r="D38" i="2"/>
  <c r="AH148" i="2"/>
  <c r="AH150" i="2"/>
  <c r="AH149" i="2"/>
  <c r="E124" i="2"/>
  <c r="E125" i="2" s="1"/>
  <c r="E140" i="2" s="1"/>
  <c r="O134" i="2"/>
  <c r="N134" i="2"/>
  <c r="M134" i="2"/>
  <c r="L134" i="2"/>
  <c r="K134" i="2"/>
  <c r="H132" i="2"/>
  <c r="G132" i="2"/>
  <c r="G128" i="2"/>
  <c r="G127" i="2"/>
  <c r="G106" i="2"/>
  <c r="G119" i="2" s="1"/>
  <c r="G122" i="2" s="1"/>
  <c r="G75" i="2"/>
  <c r="G89" i="2" s="1"/>
  <c r="AJ136" i="2"/>
  <c r="AL144" i="2"/>
  <c r="AK144" i="2"/>
  <c r="AJ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T144" i="2"/>
  <c r="AJ121" i="2"/>
  <c r="AJ118" i="2"/>
  <c r="AJ117" i="2"/>
  <c r="AJ116" i="2"/>
  <c r="AJ115" i="2"/>
  <c r="AJ113" i="2"/>
  <c r="AJ112" i="2"/>
  <c r="AJ111" i="2"/>
  <c r="AJ110" i="2"/>
  <c r="AJ109" i="2"/>
  <c r="AJ107" i="2"/>
  <c r="AJ105" i="2"/>
  <c r="AJ104" i="2"/>
  <c r="AJ103" i="2"/>
  <c r="AJ102" i="2"/>
  <c r="AJ101" i="2"/>
  <c r="AJ100" i="2"/>
  <c r="AJ99" i="2"/>
  <c r="AJ97" i="2"/>
  <c r="AJ96" i="2"/>
  <c r="AJ95" i="2"/>
  <c r="AJ94" i="2"/>
  <c r="AJ93" i="2"/>
  <c r="AJ92" i="2"/>
  <c r="AJ91" i="2"/>
  <c r="AJ88" i="2"/>
  <c r="AJ87" i="2"/>
  <c r="AJ86" i="2"/>
  <c r="AJ85" i="2"/>
  <c r="AJ84" i="2"/>
  <c r="AJ83" i="2"/>
  <c r="AJ82" i="2"/>
  <c r="AJ81" i="2"/>
  <c r="AJ80" i="2"/>
  <c r="AJ79" i="2"/>
  <c r="AJ77" i="2"/>
  <c r="AJ74" i="2"/>
  <c r="AJ73" i="2"/>
  <c r="AJ72" i="2"/>
  <c r="AJ71" i="2"/>
  <c r="AJ69" i="2"/>
  <c r="AJ68" i="2"/>
  <c r="AJ67" i="2"/>
  <c r="AJ66" i="2"/>
  <c r="AJ65" i="2"/>
  <c r="AJ108" i="2"/>
  <c r="AJ98" i="2"/>
  <c r="AJ78" i="2"/>
  <c r="AJ76" i="2"/>
  <c r="AJ70" i="2"/>
  <c r="AJ64" i="2"/>
  <c r="AJ63" i="2"/>
  <c r="G124" i="2" l="1"/>
  <c r="G125" i="2" s="1"/>
  <c r="G140" i="2" s="1"/>
  <c r="AJ134" i="2"/>
  <c r="AJ131" i="2"/>
  <c r="AJ128" i="2"/>
  <c r="AJ127" i="2"/>
  <c r="AJ137" i="2"/>
  <c r="AJ75" i="2"/>
  <c r="AJ89" i="2" s="1"/>
  <c r="G129" i="2"/>
  <c r="G138" i="2" s="1"/>
  <c r="AK32" i="2"/>
  <c r="AJ32" i="2"/>
  <c r="AL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J129" i="2" l="1"/>
  <c r="AJ138" i="2" s="1"/>
  <c r="AJ141" i="2"/>
  <c r="AJ52" i="2" l="1"/>
  <c r="AI52" i="2"/>
  <c r="AJ44" i="2"/>
  <c r="AI44" i="2"/>
  <c r="K131" i="2"/>
  <c r="AK30" i="2"/>
  <c r="AJ30" i="2"/>
  <c r="AI26" i="2"/>
  <c r="AI142" i="2" s="1"/>
  <c r="AJ26" i="2"/>
  <c r="AJ142" i="2" s="1"/>
  <c r="AJ11" i="2"/>
  <c r="AJ18" i="2" s="1"/>
  <c r="AI11" i="2"/>
  <c r="AI18" i="2" s="1"/>
  <c r="AI21" i="2" s="1"/>
  <c r="AI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31" i="2"/>
  <c r="F128" i="2"/>
  <c r="F127" i="2"/>
  <c r="F129" i="2" s="1"/>
  <c r="F138" i="2" s="1"/>
  <c r="F106" i="2"/>
  <c r="F75" i="2"/>
  <c r="F89" i="2" s="1"/>
  <c r="AI89" i="2" s="1"/>
  <c r="C26" i="2"/>
  <c r="C11" i="2"/>
  <c r="C18" i="2" s="1"/>
  <c r="C37" i="2" s="1"/>
  <c r="C52" i="2"/>
  <c r="C44" i="2"/>
  <c r="F43" i="2" l="1"/>
  <c r="AI38" i="2"/>
  <c r="AI147" i="2"/>
  <c r="AI146" i="2"/>
  <c r="AI37" i="2"/>
  <c r="F38" i="2"/>
  <c r="F119" i="2"/>
  <c r="F122" i="2" s="1"/>
  <c r="AI106" i="2"/>
  <c r="AI119" i="2" s="1"/>
  <c r="AI122" i="2" s="1"/>
  <c r="AI36" i="2"/>
  <c r="AJ36" i="2"/>
  <c r="AJ21" i="2"/>
  <c r="AJ37" i="2"/>
  <c r="AI39" i="2"/>
  <c r="C21" i="2"/>
  <c r="C36" i="2"/>
  <c r="F36" i="2"/>
  <c r="F39" i="2"/>
  <c r="F37" i="2"/>
  <c r="AI43" i="2"/>
  <c r="AI59" i="2" s="1"/>
  <c r="AJ43" i="2"/>
  <c r="C43" i="2"/>
  <c r="M141" i="2"/>
  <c r="L141" i="2"/>
  <c r="I137" i="2"/>
  <c r="H137" i="2"/>
  <c r="M131" i="2"/>
  <c r="L131" i="2"/>
  <c r="J132" i="2"/>
  <c r="I132" i="2"/>
  <c r="I128" i="2"/>
  <c r="H128" i="2"/>
  <c r="I127" i="2"/>
  <c r="H127" i="2"/>
  <c r="H106" i="2"/>
  <c r="H119" i="2" s="1"/>
  <c r="H122" i="2" s="1"/>
  <c r="I106" i="2"/>
  <c r="I119" i="2" s="1"/>
  <c r="I122" i="2" s="1"/>
  <c r="H75" i="2"/>
  <c r="H89" i="2" s="1"/>
  <c r="I75" i="2"/>
  <c r="I89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L44" i="2"/>
  <c r="AK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J59" i="2" l="1"/>
  <c r="E37" i="2"/>
  <c r="AI124" i="2"/>
  <c r="AI125" i="2" s="1"/>
  <c r="AI140" i="2" s="1"/>
  <c r="F124" i="2"/>
  <c r="F125" i="2" s="1"/>
  <c r="F140" i="2" s="1"/>
  <c r="AI150" i="2"/>
  <c r="AI148" i="2"/>
  <c r="H129" i="2"/>
  <c r="H138" i="2" s="1"/>
  <c r="I129" i="2"/>
  <c r="I138" i="2" s="1"/>
  <c r="E23" i="2"/>
  <c r="E39" i="2"/>
  <c r="I124" i="2"/>
  <c r="I125" i="2" s="1"/>
  <c r="I140" i="2" s="1"/>
  <c r="I18" i="2"/>
  <c r="I21" i="2" s="1"/>
  <c r="I23" i="2" s="1"/>
  <c r="H124" i="2"/>
  <c r="H125" i="2" s="1"/>
  <c r="H140" i="2" s="1"/>
  <c r="E36" i="2"/>
  <c r="AJ23" i="2"/>
  <c r="AJ39" i="2"/>
  <c r="C39" i="2"/>
  <c r="C23" i="2"/>
  <c r="E43" i="2"/>
  <c r="F60" i="2" s="1"/>
  <c r="D43" i="2"/>
  <c r="D60" i="2" s="1"/>
  <c r="G43" i="2"/>
  <c r="I43" i="2"/>
  <c r="K137" i="2"/>
  <c r="J137" i="2"/>
  <c r="N141" i="2"/>
  <c r="O131" i="2"/>
  <c r="N131" i="2"/>
  <c r="L132" i="2"/>
  <c r="K132" i="2"/>
  <c r="K128" i="2"/>
  <c r="J128" i="2"/>
  <c r="K127" i="2"/>
  <c r="J127" i="2"/>
  <c r="J106" i="2"/>
  <c r="AJ106" i="2" s="1"/>
  <c r="AJ119" i="2" s="1"/>
  <c r="K106" i="2"/>
  <c r="K119" i="2" s="1"/>
  <c r="K122" i="2" s="1"/>
  <c r="J75" i="2"/>
  <c r="J89" i="2" s="1"/>
  <c r="K75" i="2"/>
  <c r="K89" i="2" s="1"/>
  <c r="AI149" i="2" l="1"/>
  <c r="E38" i="2"/>
  <c r="C38" i="2"/>
  <c r="F147" i="2"/>
  <c r="F146" i="2"/>
  <c r="I38" i="2"/>
  <c r="AJ38" i="2"/>
  <c r="AJ147" i="2"/>
  <c r="AJ146" i="2"/>
  <c r="I39" i="2"/>
  <c r="K129" i="2"/>
  <c r="K138" i="2" s="1"/>
  <c r="J129" i="2"/>
  <c r="J138" i="2" s="1"/>
  <c r="J119" i="2"/>
  <c r="J122" i="2" s="1"/>
  <c r="AJ122" i="2"/>
  <c r="AJ124" i="2"/>
  <c r="AJ125" i="2" s="1"/>
  <c r="AJ140" i="2" s="1"/>
  <c r="G59" i="2"/>
  <c r="G60" i="2"/>
  <c r="I37" i="2"/>
  <c r="K124" i="2"/>
  <c r="K125" i="2" s="1"/>
  <c r="K140" i="2" s="1"/>
  <c r="E60" i="2"/>
  <c r="I59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50" i="2" l="1"/>
  <c r="F149" i="2"/>
  <c r="F148" i="2"/>
  <c r="AJ150" i="2"/>
  <c r="AJ148" i="2"/>
  <c r="AJ149" i="2"/>
  <c r="J36" i="2"/>
  <c r="G21" i="2"/>
  <c r="G37" i="2"/>
  <c r="J21" i="2"/>
  <c r="J37" i="2"/>
  <c r="J60" i="2"/>
  <c r="J59" i="2"/>
  <c r="G36" i="2"/>
  <c r="K18" i="2"/>
  <c r="J124" i="2"/>
  <c r="J125" i="2" s="1"/>
  <c r="J140" i="2" s="1"/>
  <c r="S134" i="2"/>
  <c r="R134" i="2"/>
  <c r="Q134" i="2"/>
  <c r="P134" i="2"/>
  <c r="T134" i="2"/>
  <c r="O141" i="2"/>
  <c r="S131" i="2"/>
  <c r="Q131" i="2"/>
  <c r="N132" i="2"/>
  <c r="M132" i="2"/>
  <c r="M128" i="2"/>
  <c r="M127" i="2"/>
  <c r="M106" i="2"/>
  <c r="M119" i="2" s="1"/>
  <c r="M122" i="2" s="1"/>
  <c r="M75" i="2"/>
  <c r="M89" i="2" s="1"/>
  <c r="M52" i="2"/>
  <c r="P132" i="2"/>
  <c r="O132" i="2"/>
  <c r="O128" i="2"/>
  <c r="O127" i="2"/>
  <c r="O106" i="2"/>
  <c r="O119" i="2" s="1"/>
  <c r="O122" i="2" s="1"/>
  <c r="O75" i="2"/>
  <c r="O89" i="2" s="1"/>
  <c r="K52" i="2"/>
  <c r="O52" i="2"/>
  <c r="L137" i="2"/>
  <c r="P131" i="2"/>
  <c r="T128" i="2"/>
  <c r="S128" i="2"/>
  <c r="R128" i="2"/>
  <c r="Q128" i="2"/>
  <c r="P128" i="2"/>
  <c r="N128" i="2"/>
  <c r="L128" i="2"/>
  <c r="L127" i="2"/>
  <c r="AL109" i="2"/>
  <c r="AK109" i="2"/>
  <c r="L106" i="2"/>
  <c r="L119" i="2" s="1"/>
  <c r="L122" i="2" s="1"/>
  <c r="AL95" i="2"/>
  <c r="AK95" i="2"/>
  <c r="AL79" i="2"/>
  <c r="AK79" i="2"/>
  <c r="AL68" i="2"/>
  <c r="AK68" i="2"/>
  <c r="L75" i="2"/>
  <c r="L89" i="2" s="1"/>
  <c r="L52" i="2"/>
  <c r="H52" i="2"/>
  <c r="H43" i="2" s="1"/>
  <c r="L30" i="2"/>
  <c r="P30" i="2"/>
  <c r="M31" i="2"/>
  <c r="L26" i="2"/>
  <c r="L142" i="2" s="1"/>
  <c r="L11" i="2"/>
  <c r="L36" i="2" s="1"/>
  <c r="H26" i="2"/>
  <c r="K142" i="2" s="1"/>
  <c r="H11" i="2"/>
  <c r="H36" i="2" s="1"/>
  <c r="O129" i="2" l="1"/>
  <c r="M129" i="2"/>
  <c r="H142" i="2"/>
  <c r="I142" i="2"/>
  <c r="H60" i="2"/>
  <c r="H59" i="2"/>
  <c r="I60" i="2"/>
  <c r="O124" i="2"/>
  <c r="O125" i="2" s="1"/>
  <c r="O140" i="2" s="1"/>
  <c r="J39" i="2"/>
  <c r="J23" i="2"/>
  <c r="K37" i="2"/>
  <c r="K21" i="2"/>
  <c r="J142" i="2"/>
  <c r="M124" i="2"/>
  <c r="M125" i="2" s="1"/>
  <c r="M140" i="2" s="1"/>
  <c r="G23" i="2"/>
  <c r="G39" i="2"/>
  <c r="L124" i="2"/>
  <c r="L125" i="2" s="1"/>
  <c r="L140" i="2" s="1"/>
  <c r="M43" i="2"/>
  <c r="K43" i="2"/>
  <c r="O43" i="2"/>
  <c r="L129" i="2"/>
  <c r="L138" i="2" s="1"/>
  <c r="L18" i="2"/>
  <c r="H18" i="2"/>
  <c r="L43" i="2"/>
  <c r="P141" i="2"/>
  <c r="S141" i="2"/>
  <c r="R141" i="2"/>
  <c r="Q141" i="2"/>
  <c r="T141" i="2"/>
  <c r="AK136" i="2"/>
  <c r="AK121" i="2"/>
  <c r="AK108" i="2"/>
  <c r="AK118" i="2"/>
  <c r="AK117" i="2"/>
  <c r="AK116" i="2"/>
  <c r="AK115" i="2"/>
  <c r="AK113" i="2"/>
  <c r="AK112" i="2"/>
  <c r="AK111" i="2"/>
  <c r="AK110" i="2"/>
  <c r="AK107" i="2"/>
  <c r="AK98" i="2"/>
  <c r="AK94" i="2"/>
  <c r="AK105" i="2"/>
  <c r="AK104" i="2"/>
  <c r="AK103" i="2"/>
  <c r="AK102" i="2"/>
  <c r="AK101" i="2"/>
  <c r="AK100" i="2"/>
  <c r="AK99" i="2"/>
  <c r="AK97" i="2"/>
  <c r="AK96" i="2"/>
  <c r="AK93" i="2"/>
  <c r="AK92" i="2"/>
  <c r="AK91" i="2"/>
  <c r="AL136" i="2"/>
  <c r="AL121" i="2"/>
  <c r="AL118" i="2"/>
  <c r="AL117" i="2"/>
  <c r="AL116" i="2"/>
  <c r="AL115" i="2"/>
  <c r="AL113" i="2"/>
  <c r="AL112" i="2"/>
  <c r="AL111" i="2"/>
  <c r="AL110" i="2"/>
  <c r="AL107" i="2"/>
  <c r="AL108" i="2"/>
  <c r="AL94" i="2"/>
  <c r="AL98" i="2"/>
  <c r="AL105" i="2"/>
  <c r="AL104" i="2"/>
  <c r="AL103" i="2"/>
  <c r="AL102" i="2"/>
  <c r="AL101" i="2"/>
  <c r="AL100" i="2"/>
  <c r="AL99" i="2"/>
  <c r="AL97" i="2"/>
  <c r="AL96" i="2"/>
  <c r="AL93" i="2"/>
  <c r="AL92" i="2"/>
  <c r="AL91" i="2"/>
  <c r="AK69" i="2"/>
  <c r="AK67" i="2"/>
  <c r="AK66" i="2"/>
  <c r="AK65" i="2"/>
  <c r="AK74" i="2"/>
  <c r="AK73" i="2"/>
  <c r="AK72" i="2"/>
  <c r="AK71" i="2"/>
  <c r="AK77" i="2"/>
  <c r="AK87" i="2"/>
  <c r="AK86" i="2"/>
  <c r="AK85" i="2"/>
  <c r="AK84" i="2"/>
  <c r="AK83" i="2"/>
  <c r="AK82" i="2"/>
  <c r="AK81" i="2"/>
  <c r="AK80" i="2"/>
  <c r="AK88" i="2"/>
  <c r="AK78" i="2"/>
  <c r="AK76" i="2"/>
  <c r="AK70" i="2"/>
  <c r="AK64" i="2"/>
  <c r="AK63" i="2"/>
  <c r="AL88" i="2"/>
  <c r="AL87" i="2"/>
  <c r="AL86" i="2"/>
  <c r="AL85" i="2"/>
  <c r="AL84" i="2"/>
  <c r="AL83" i="2"/>
  <c r="AL82" i="2"/>
  <c r="AL81" i="2"/>
  <c r="AL80" i="2"/>
  <c r="AL77" i="2"/>
  <c r="AL74" i="2"/>
  <c r="AL73" i="2"/>
  <c r="AL72" i="2"/>
  <c r="AL71" i="2"/>
  <c r="AL78" i="2"/>
  <c r="AL76" i="2"/>
  <c r="AL70" i="2"/>
  <c r="AM131" i="2" s="1"/>
  <c r="AL69" i="2"/>
  <c r="AL67" i="2"/>
  <c r="AL66" i="2"/>
  <c r="AL65" i="2"/>
  <c r="AL64" i="2"/>
  <c r="AL63" i="2"/>
  <c r="R131" i="2"/>
  <c r="S132" i="2"/>
  <c r="R132" i="2"/>
  <c r="R127" i="2"/>
  <c r="R129" i="2" s="1"/>
  <c r="N127" i="2"/>
  <c r="R106" i="2"/>
  <c r="R119" i="2" s="1"/>
  <c r="R122" i="2" s="1"/>
  <c r="N106" i="2"/>
  <c r="N119" i="2" s="1"/>
  <c r="N122" i="2" s="1"/>
  <c r="Q127" i="2"/>
  <c r="Q129" i="2" s="1"/>
  <c r="P127" i="2"/>
  <c r="P129" i="2" s="1"/>
  <c r="S127" i="2"/>
  <c r="T127" i="2"/>
  <c r="R75" i="2"/>
  <c r="R89" i="2" s="1"/>
  <c r="N75" i="2"/>
  <c r="N89" i="2" s="1"/>
  <c r="AL52" i="2"/>
  <c r="AK52" i="2"/>
  <c r="AK43" i="2" s="1"/>
  <c r="AK59" i="2" s="1"/>
  <c r="AK36" i="2"/>
  <c r="AL26" i="2"/>
  <c r="AK26" i="2"/>
  <c r="AL30" i="2"/>
  <c r="AK11" i="2"/>
  <c r="AK18" i="2" s="1"/>
  <c r="AK21" i="2" s="1"/>
  <c r="AL11" i="2"/>
  <c r="AL36" i="2" s="1"/>
  <c r="O31" i="2"/>
  <c r="N31" i="2"/>
  <c r="R30" i="2"/>
  <c r="N26" i="2"/>
  <c r="N11" i="2"/>
  <c r="N18" i="2" s="1"/>
  <c r="N52" i="2"/>
  <c r="N43" i="2" s="1"/>
  <c r="R52" i="2"/>
  <c r="T131" i="2"/>
  <c r="Q132" i="2"/>
  <c r="Q106" i="2"/>
  <c r="Q119" i="2" s="1"/>
  <c r="Q122" i="2" s="1"/>
  <c r="Q75" i="2"/>
  <c r="Q89" i="2" s="1"/>
  <c r="P75" i="2"/>
  <c r="P89" i="2" s="1"/>
  <c r="J38" i="2" l="1"/>
  <c r="G38" i="2"/>
  <c r="G146" i="2"/>
  <c r="G147" i="2"/>
  <c r="AL127" i="2"/>
  <c r="AK127" i="2"/>
  <c r="AK128" i="2"/>
  <c r="K23" i="2"/>
  <c r="K39" i="2"/>
  <c r="AL131" i="2"/>
  <c r="AL134" i="2"/>
  <c r="AK75" i="2"/>
  <c r="AK89" i="2" s="1"/>
  <c r="AL128" i="2"/>
  <c r="O59" i="2"/>
  <c r="O60" i="2"/>
  <c r="K60" i="2"/>
  <c r="K59" i="2"/>
  <c r="M60" i="2"/>
  <c r="M59" i="2"/>
  <c r="N59" i="2"/>
  <c r="N60" i="2"/>
  <c r="AL142" i="2"/>
  <c r="AK131" i="2"/>
  <c r="AK134" i="2"/>
  <c r="AK106" i="2"/>
  <c r="AK119" i="2" s="1"/>
  <c r="AK122" i="2" s="1"/>
  <c r="L59" i="2"/>
  <c r="L60" i="2"/>
  <c r="AL18" i="2"/>
  <c r="AK142" i="2"/>
  <c r="N36" i="2"/>
  <c r="R124" i="2"/>
  <c r="R125" i="2" s="1"/>
  <c r="R140" i="2" s="1"/>
  <c r="AL75" i="2"/>
  <c r="AL89" i="2" s="1"/>
  <c r="N124" i="2"/>
  <c r="N125" i="2" s="1"/>
  <c r="N140" i="2" s="1"/>
  <c r="AK23" i="2"/>
  <c r="AK39" i="2"/>
  <c r="N21" i="2"/>
  <c r="N39" i="2" s="1"/>
  <c r="N37" i="2"/>
  <c r="AK37" i="2"/>
  <c r="AK137" i="2"/>
  <c r="AL137" i="2"/>
  <c r="AL141" i="2" s="1"/>
  <c r="AL106" i="2"/>
  <c r="AL119" i="2" s="1"/>
  <c r="AL122" i="2" s="1"/>
  <c r="H37" i="2"/>
  <c r="H21" i="2"/>
  <c r="H39" i="2" s="1"/>
  <c r="N129" i="2"/>
  <c r="L21" i="2"/>
  <c r="L39" i="2" s="1"/>
  <c r="L37" i="2"/>
  <c r="AL43" i="2"/>
  <c r="R43" i="2"/>
  <c r="V59" i="2" s="1"/>
  <c r="Q124" i="2"/>
  <c r="Q125" i="2" s="1"/>
  <c r="Q140" i="2" s="1"/>
  <c r="R137" i="2"/>
  <c r="R138" i="2" s="1"/>
  <c r="Q137" i="2"/>
  <c r="Q138" i="2" s="1"/>
  <c r="P137" i="2"/>
  <c r="P138" i="2" s="1"/>
  <c r="O137" i="2"/>
  <c r="O138" i="2" s="1"/>
  <c r="N137" i="2"/>
  <c r="M137" i="2"/>
  <c r="M138" i="2" s="1"/>
  <c r="AL129" i="2" l="1"/>
  <c r="AL138" i="2" s="1"/>
  <c r="AL59" i="2"/>
  <c r="AM59" i="2"/>
  <c r="AK129" i="2"/>
  <c r="G150" i="2"/>
  <c r="G148" i="2"/>
  <c r="G149" i="2"/>
  <c r="K38" i="2"/>
  <c r="AK38" i="2"/>
  <c r="AK146" i="2"/>
  <c r="AK147" i="2"/>
  <c r="AK124" i="2"/>
  <c r="AK125" i="2" s="1"/>
  <c r="AK140" i="2" s="1"/>
  <c r="R59" i="2"/>
  <c r="AL37" i="2"/>
  <c r="AL21" i="2"/>
  <c r="AL39" i="2" s="1"/>
  <c r="L23" i="2"/>
  <c r="L146" i="2" s="1"/>
  <c r="AL124" i="2"/>
  <c r="AL125" i="2" s="1"/>
  <c r="AL140" i="2" s="1"/>
  <c r="N138" i="2"/>
  <c r="H23" i="2"/>
  <c r="N23" i="2"/>
  <c r="AK138" i="2"/>
  <c r="AK141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K148" i="2"/>
  <c r="AK149" i="2"/>
  <c r="AK150" i="2"/>
  <c r="H38" i="2"/>
  <c r="K146" i="2"/>
  <c r="K147" i="2"/>
  <c r="H147" i="2"/>
  <c r="I147" i="2"/>
  <c r="J147" i="2"/>
  <c r="J146" i="2"/>
  <c r="H146" i="2"/>
  <c r="I146" i="2"/>
  <c r="L148" i="2"/>
  <c r="L149" i="2"/>
  <c r="L150" i="2"/>
  <c r="L147" i="2"/>
  <c r="N142" i="2"/>
  <c r="M142" i="2"/>
  <c r="AL23" i="2"/>
  <c r="Q43" i="2"/>
  <c r="U59" i="2" s="1"/>
  <c r="Q18" i="2"/>
  <c r="M18" i="2"/>
  <c r="S137" i="2"/>
  <c r="T137" i="2"/>
  <c r="I148" i="2" l="1"/>
  <c r="I149" i="2"/>
  <c r="I150" i="2"/>
  <c r="H148" i="2"/>
  <c r="H149" i="2"/>
  <c r="H150" i="2"/>
  <c r="J149" i="2"/>
  <c r="J148" i="2"/>
  <c r="J150" i="2"/>
  <c r="AL38" i="2"/>
  <c r="AL146" i="2"/>
  <c r="AL147" i="2"/>
  <c r="K150" i="2"/>
  <c r="K148" i="2"/>
  <c r="K149" i="2"/>
  <c r="Q59" i="2"/>
  <c r="R60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2" i="2" s="1"/>
  <c r="O11" i="2"/>
  <c r="O18" i="2" s="1"/>
  <c r="AL148" i="2" l="1"/>
  <c r="AL149" i="2"/>
  <c r="AL150" i="2"/>
  <c r="S142" i="2"/>
  <c r="R142" i="2"/>
  <c r="Q142" i="2"/>
  <c r="P142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2" i="2"/>
  <c r="S129" i="2"/>
  <c r="S138" i="2" s="1"/>
  <c r="T106" i="2"/>
  <c r="T119" i="2" s="1"/>
  <c r="T75" i="2"/>
  <c r="T89" i="2" s="1"/>
  <c r="S106" i="2"/>
  <c r="S119" i="2" s="1"/>
  <c r="S122" i="2" s="1"/>
  <c r="P106" i="2"/>
  <c r="S43" i="2"/>
  <c r="W59" i="2" s="1"/>
  <c r="P43" i="2"/>
  <c r="T43" i="2"/>
  <c r="X59" i="2" s="1"/>
  <c r="U60" i="2" l="1"/>
  <c r="Q38" i="2"/>
  <c r="M38" i="2"/>
  <c r="M147" i="2"/>
  <c r="M146" i="2"/>
  <c r="N146" i="2"/>
  <c r="N147" i="2"/>
  <c r="T59" i="2"/>
  <c r="T60" i="2"/>
  <c r="P59" i="2"/>
  <c r="P60" i="2"/>
  <c r="Q60" i="2"/>
  <c r="S60" i="2"/>
  <c r="S59" i="2"/>
  <c r="T124" i="2"/>
  <c r="T125" i="2" s="1"/>
  <c r="T140" i="2" s="1"/>
  <c r="R23" i="2"/>
  <c r="O23" i="2"/>
  <c r="S23" i="2"/>
  <c r="T129" i="2"/>
  <c r="T138" i="2" s="1"/>
  <c r="T122" i="2"/>
  <c r="P119" i="2"/>
  <c r="S75" i="2"/>
  <c r="S89" i="2" s="1"/>
  <c r="S124" i="2" s="1"/>
  <c r="S125" i="2" s="1"/>
  <c r="S140" i="2" s="1"/>
  <c r="S38" i="2" l="1"/>
  <c r="R38" i="2"/>
  <c r="O38" i="2"/>
  <c r="M149" i="2"/>
  <c r="M148" i="2"/>
  <c r="M150" i="2"/>
  <c r="O146" i="2"/>
  <c r="N150" i="2"/>
  <c r="N148" i="2"/>
  <c r="N149" i="2"/>
  <c r="O147" i="2"/>
  <c r="P122" i="2"/>
  <c r="P124" i="2"/>
  <c r="P125" i="2" s="1"/>
  <c r="P140" i="2" s="1"/>
  <c r="T30" i="2"/>
  <c r="T26" i="2"/>
  <c r="T11" i="2"/>
  <c r="T18" i="2" s="1"/>
  <c r="P11" i="2"/>
  <c r="P18" i="2" s="1"/>
  <c r="P21" i="2" s="1"/>
  <c r="C8" i="1"/>
  <c r="C39" i="1" s="1"/>
  <c r="V142" i="2" l="1"/>
  <c r="W142" i="2"/>
  <c r="T142" i="2"/>
  <c r="U142" i="2"/>
  <c r="O148" i="2"/>
  <c r="O149" i="2"/>
  <c r="O150" i="2"/>
  <c r="P23" i="2"/>
  <c r="P39" i="2"/>
  <c r="T36" i="2"/>
  <c r="T21" i="2"/>
  <c r="T39" i="2" s="1"/>
  <c r="T37" i="2"/>
  <c r="P37" i="2"/>
  <c r="P36" i="2"/>
  <c r="C12" i="1"/>
  <c r="P38" i="2" l="1"/>
  <c r="S147" i="2"/>
  <c r="S146" i="2"/>
  <c r="P147" i="2"/>
  <c r="P146" i="2"/>
  <c r="Q146" i="2"/>
  <c r="Q147" i="2"/>
  <c r="R147" i="2"/>
  <c r="R146" i="2"/>
  <c r="T23" i="2"/>
  <c r="W147" i="2" l="1"/>
  <c r="W146" i="2"/>
  <c r="V147" i="2"/>
  <c r="V146" i="2"/>
  <c r="U146" i="2"/>
  <c r="U147" i="2"/>
  <c r="Q150" i="2"/>
  <c r="Q148" i="2"/>
  <c r="Q149" i="2"/>
  <c r="S148" i="2"/>
  <c r="S149" i="2"/>
  <c r="S150" i="2"/>
  <c r="T38" i="2"/>
  <c r="T146" i="2"/>
  <c r="T147" i="2"/>
  <c r="R149" i="2"/>
  <c r="R148" i="2"/>
  <c r="R150" i="2"/>
  <c r="P148" i="2"/>
  <c r="P149" i="2"/>
  <c r="P150" i="2"/>
  <c r="W148" i="2" l="1"/>
  <c r="W150" i="2"/>
  <c r="W149" i="2"/>
  <c r="V150" i="2"/>
  <c r="V148" i="2"/>
  <c r="V149" i="2"/>
  <c r="U150" i="2"/>
  <c r="U149" i="2"/>
  <c r="U148" i="2"/>
  <c r="T148" i="2"/>
  <c r="T149" i="2"/>
  <c r="T1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AO9" authorId="0" shapeId="0" xr:uid="{A79935ED-AE6D-4D20-81AA-870E21775608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Analysts consensus</t>
        </r>
      </text>
    </comment>
    <comment ref="B27" authorId="0" shapeId="0" xr:uid="{3EBCC6D1-3BEF-4E43-B81B-09A647044702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This is WRONG. Need to investigate </t>
        </r>
      </text>
    </comment>
    <comment ref="C97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7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7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11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11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11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<sst xmlns="http://schemas.openxmlformats.org/spreadsheetml/2006/main" count="599" uniqueCount="335">
  <si>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</si>
  <si>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</si>
  <si>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</si>
  <si>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</si>
  <si>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</si>
  <si>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</si>
  <si>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</si>
  <si>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</si>
  <si>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</si>
  <si>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</si>
  <si>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</si>
  <si>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</si>
  <si>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</si>
  <si>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</si>
  <si>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</si>
  <si>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</si>
  <si>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</si>
  <si>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</si>
  <si>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</si>
  <si>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</si>
  <si>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</si>
  <si>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</si>
  <si>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</si>
  <si>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</si>
  <si>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</si>
  <si>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</si>
  <si>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</si>
  <si>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</si>
  <si>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</si>
  <si>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</si>
  <si>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</si>
  <si>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</si>
  <si>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</si>
  <si>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</si>
  <si>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</si>
  <si>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</si>
  <si>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</si>
  <si>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</si>
  <si>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</si>
  <si>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</si>
  <si>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</si>
  <si>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</si>
  <si>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</si>
  <si>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</si>
  <si>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</si>
  <si>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</si>
  <si>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</si>
  <si>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</si>
  <si>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</si>
  <si>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</si>
  <si>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</si>
  <si>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</si>
  <si>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</si>
  <si>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</si>
  <si>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</si>
  <si>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</si>
  <si>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</si>
  <si>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</si>
  <si>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</si>
  <si>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</si>
  <si>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</si>
  <si>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</si>
  <si>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</si>
  <si>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</si>
  <si>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</si>
  <si>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</si>
  <si>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</si>
  <si>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</si>
  <si>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</si>
  <si>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</si>
  <si>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</si>
  <si>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</si>
  <si>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</si>
  <si>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</si>
  <si>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</si>
  <si>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</si>
  <si>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</si>
  <si>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</si>
  <si>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</si>
  <si>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</si>
  <si>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</si>
  <si>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</si>
  <si>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</si>
  <si>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</si>
  <si>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</si>
  <si>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</si>
  <si>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</si>
  <si>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</si>
  <si>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</si>
  <si>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</si>
  <si>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</si>
  <si>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</si>
  <si>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</si>
  <si>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</si>
  <si>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</si>
  <si>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</si>
  <si>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</si>
  <si>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</si>
  <si>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</si>
  <si>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</si>
  <si>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</si>
  <si>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</si>
  <si>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</si>
  <si>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</si>
  <si>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</si>
  <si>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</si>
  <si>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</si>
  <si>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</si>
  <si>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</si>
  <si>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</si>
  <si>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</si>
  <si>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</si>
  <si>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</si>
  <si>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</si>
  <si>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</si>
  <si>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</si>
  <si>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</si>
  <si>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</si>
  <si>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</si>
  <si>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</si>
  <si>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</si>
  <si>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</si>
  <si>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</si>
  <si>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</si>
  <si>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</si>
  <si>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</si>
  <si>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</si>
  <si>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</si>
  <si>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</si>
  <si>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</si>
  <si>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</si>
  <si>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</si>
  <si>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</si>
  <si>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</si>
  <si>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</si>
  <si>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</si>
  <si>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</si>
  <si>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</si>
  <si>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</si>
  <si>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</si>
  <si>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</si>
  <si>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</si>
  <si>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</si>
  <si>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</si>
  <si>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</si>
  <si>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</si>
  <si>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</si>
  <si>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</si>
  <si>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</si>
  <si>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</si>
  <si>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</si>
  <si>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</si>
  <si>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</si>
  <si>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</si>
  <si>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</si>
  <si>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</si>
  <si>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</si>
  <si>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</si>
  <si>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</si>
  <si>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</si>
  <si>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</si>
  <si>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</si>
  <si>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</si>
  <si>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</si>
  <si>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</si>
  <si>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</si>
  <si>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</si>
  <si>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</si>
  <si>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</si>
  <si>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</si>
  <si>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</si>
  <si>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</si>
  <si>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</si>
  <si>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</si>
  <si>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</si>
  <si>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</si>
  <si>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</si>
  <si>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</si>
  <si>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</si>
  <si>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</si>
  <si>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</si>
  <si>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</si>
  <si>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</si>
  <si>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</si>
  <si>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</si>
  <si>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</si>
  <si>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</si>
  <si>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</si>
  <si>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</si>
  <si>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</si>
  <si>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</si>
  <si>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</si>
  <si>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</si>
  <si>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</si>
  <si>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</si>
  <si>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</si>
  <si>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</si>
  <si>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</si>
  <si>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</si>
  <si>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</si>
  <si>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</si>
  <si>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</si>
  <si>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</si>
  <si>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</si>
  <si>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</si>
  <si>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</si>
  <si>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</si>
  <si>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</si>
  <si>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</si>
  <si>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</si>
  <si>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</si>
  <si>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</si>
  <si>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</si>
  <si>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</si>
  <si>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</si>
  <si>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</si>
  <si>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</si>
  <si>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</si>
  <si>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</si>
  <si>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</si>
  <si>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</si>
  <si>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</si>
  <si>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</si>
  <si>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</si>
  <si>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</si>
  <si>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</si>
  <si>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</si>
  <si>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</si>
  <si>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</si>
  <si>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</si>
  <si>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</si>
  <si>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</si>
  <si>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</si>
  <si>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</si>
  <si>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</si>
  <si>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</si>
  <si>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</si>
  <si>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</si>
  <si>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</si>
  <si>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</si>
  <si>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</si>
  <si>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</si>
  <si>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</si>
  <si>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</si>
  <si>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</si>
  <si>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</si>
  <si>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</si>
  <si>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</si>
  <si>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</si>
  <si>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</si>
  <si>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</si>
  <si>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</si>
  <si>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</si>
  <si>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</si>
  <si>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</si>
  <si>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</si>
  <si>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</si>
  <si>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</si>
  <si>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</si>
  <si>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</si>
  <si>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</si>
  <si>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</si>
  <si>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</si>
  <si>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</si>
  <si>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</si>
  <si>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</si>
  <si>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</si>
  <si>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</si>
  <si>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</si>
  <si>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</si>
  <si>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</si>
  <si>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</si>
  <si>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</si>
  <si>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</si>
  <si>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</si>
  <si>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</si>
  <si>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</si>
  <si>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</si>
  <si>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</si>
  <si>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</si>
  <si>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</si>
  <si>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</si>
  <si>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</si>
  <si>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</si>
  <si>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</si>
  <si>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</si>
  <si>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</si>
  <si>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</si>
  <si>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</si>
  <si>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</si>
  <si>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</si>
  <si>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</si>
  <si>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</si>
  <si>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</si>
  <si>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</si>
  <si>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</si>
  <si>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</si>
  <si>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</si>
  <si>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</si>
  <si>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</si>
  <si>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</si>
  <si>
    <t>Since?</t>
  </si>
  <si>
    <t>Q423</t>
  </si>
  <si>
    <t>American Airlines place order for up to 90 Embraer E175 jets</t>
  </si>
  <si>
    <t>E2 Jets are approved for ETOPS-120 flight operations allowing for longer flights over water or rural areas</t>
  </si>
  <si>
    <t>Saudi to acquire 33 C-390 Millenium to replace aging C-130 with final assembly to be conducted in Saudi Arabia</t>
  </si>
  <si>
    <t>Q124</t>
  </si>
  <si>
    <t>Q224</t>
  </si>
  <si>
    <t>WSJ claim that $ERJ wish to develop a competitor to A320/B737 series of aircraft within the next decade</t>
  </si>
  <si>
    <t>Polish LOT airline has reached a lease agreement for 3 E195-E2 units in anticipation of an order of up to 84 jets</t>
  </si>
  <si>
    <t>Embraer announce first-in-class Automatic Takeoff Functionality for E2 series of regional airliners</t>
  </si>
  <si>
    <t>Austria &amp; Netherlands sign for a joint deal of 9 C-390 Millenium A/C at the Farnborough Air Show 2024, deliver from 2027</t>
  </si>
  <si>
    <t>C-390 Millenium</t>
  </si>
  <si>
    <t>Macro</t>
  </si>
  <si>
    <t>Brazil Municipal Elections</t>
  </si>
  <si>
    <t>6 Oct 24 - 27 Oct 24</t>
  </si>
  <si>
    <t>Brazil General Election</t>
  </si>
  <si>
    <t>4 Oct 26 - 25 Oct 26</t>
  </si>
  <si>
    <t>Virgin Australia place firm order for 8 E190-E2 regional jets to replace their aging Fokker 100 fleet</t>
  </si>
  <si>
    <t>Embraer in talks with Indian Govt. to set up manufacturing facility in India dependent on Indian adoption of E-Jets</t>
  </si>
  <si>
    <t>Boeing will pay Embraer $150million to settle differences stemming from the failed Joint-Venture agreement</t>
  </si>
  <si>
    <t>Embraer say South Africa have been progressing in talks to acquire C-390 millenium, details sparse but talks progressing</t>
  </si>
  <si>
    <t>Czech Republic confirms order for two Embraer C-390 millenium airlifters</t>
  </si>
  <si>
    <t>! Confirmed Oct 24</t>
  </si>
  <si>
    <t>Morocco - Unknown Qty</t>
  </si>
  <si>
    <t>Morocco believed to bew new customer of C-390 Millenium of unknown quantity</t>
  </si>
  <si>
    <t>Sweden picks Embraer's C-390 as new Military Cargo Aircraft. Brazil had previously bought SAAB's Gripen fighters</t>
  </si>
  <si>
    <t>! Confirmed Nov 24</t>
  </si>
  <si>
    <t>Q324</t>
  </si>
  <si>
    <t>Embraer's E190F freighter is certified by European regulator EASA</t>
  </si>
  <si>
    <t>Embraer &amp; Indonesia's PTDI sign memorandum of understanding to evaluate partnerships in commercial aviation</t>
  </si>
  <si>
    <t>Embraer to explore capabilities of C-390 Millenium with focus on Maritime Patrol. Competing with P-8, Airbus A321 MPA</t>
  </si>
  <si>
    <t>Slovakia to acquire three C-390 airlifters from Embraer</t>
  </si>
  <si>
    <t>Slovakia - 3 Aircraft</t>
  </si>
  <si>
    <t>CONFIRMED Dec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</si>
</sst>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8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i/>
      <sz val="10"/>
      <color theme="5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4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5" fillId="0" borderId="0" xfId="0" applyNumberFormat="1" applyFont="1"/>
    <xf numFmtId="0" fontId="16" fillId="0" borderId="0" xfId="0" applyFont="1"/>
    <xf numFmtId="0" fontId="15" fillId="0" borderId="0" xfId="0" applyFont="1"/>
    <xf numFmtId="1" fontId="15" fillId="0" borderId="0" xfId="0" applyNumberFormat="1" applyFont="1"/>
    <xf numFmtId="3" fontId="15" fillId="0" borderId="0" xfId="0" applyNumberFormat="1" applyFont="1" applyAlignment="1">
      <alignment horizontal="left" indent="1"/>
    </xf>
    <xf numFmtId="0" fontId="16" fillId="0" borderId="0" xfId="0" applyFont="1" applyAlignment="1">
      <alignment horizontal="left" indent="1"/>
    </xf>
    <xf numFmtId="0" fontId="15" fillId="0" borderId="0" xfId="0" applyFont="1" applyAlignment="1">
      <alignment horizontal="left" indent="1"/>
    </xf>
    <xf numFmtId="1" fontId="15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0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1" fillId="4" borderId="0" xfId="1" applyFont="1" applyFill="1"/>
    <xf numFmtId="0" fontId="22" fillId="4" borderId="4" xfId="0" applyFont="1" applyFill="1" applyBorder="1" applyAlignment="1">
      <alignment horizontal="left" indent="1"/>
    </xf>
    <xf numFmtId="0" fontId="23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/>
    <xf numFmtId="0" fontId="3" fillId="6" borderId="5" xfId="0" applyFont="1" applyFill="1" applyBorder="1"/>
    <xf numFmtId="0" fontId="2" fillId="7" borderId="4" xfId="0" applyFont="1" applyFill="1" applyBorder="1"/>
    <xf numFmtId="0" fontId="2" fillId="7" borderId="0" xfId="0" applyFont="1" applyFill="1"/>
    <xf numFmtId="0" fontId="2" fillId="7" borderId="5" xfId="0" applyFont="1" applyFill="1" applyBorder="1"/>
    <xf numFmtId="0" fontId="25" fillId="8" borderId="0" xfId="0" applyFont="1" applyFill="1"/>
    <xf numFmtId="164" fontId="25" fillId="8" borderId="0" xfId="0" applyNumberFormat="1" applyFont="1" applyFill="1"/>
    <xf numFmtId="164" fontId="2" fillId="9" borderId="0" xfId="0" applyNumberFormat="1" applyFont="1" applyFill="1"/>
    <xf numFmtId="9" fontId="2" fillId="9" borderId="0" xfId="0" applyNumberFormat="1" applyFont="1" applyFill="1"/>
    <xf numFmtId="0" fontId="27" fillId="0" borderId="0" xfId="0" applyFont="1"/>
    <xf numFmtId="0" fontId="3" fillId="4" borderId="6" xfId="0" applyFont="1" applyFill="1" applyBorder="1" applyAlignment="1">
      <alignment horizontal="left" indent="1"/>
    </xf>
    <xf numFmtId="0" fontId="25" fillId="10" borderId="4" xfId="0" applyFont="1" applyFill="1" applyBorder="1"/>
    <xf numFmtId="0" fontId="25" fillId="10" borderId="0" xfId="0" applyFont="1" applyFill="1"/>
    <xf numFmtId="0" fontId="25" fillId="10" borderId="5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4" fillId="4" borderId="8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25" fillId="1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Model'!$C$15:$AC$15</c:f>
              <c:numCache>
                <c:formatCode>#,##0.0</c:formatCode>
                <c:ptCount val="27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  <c:pt idx="23">
                  <c:v>17.7</c:v>
                </c:pt>
                <c:pt idx="24" formatCode="General">
                  <c:v>12.1</c:v>
                </c:pt>
                <c:pt idx="25" formatCode="General">
                  <c:v>15.3</c:v>
                </c:pt>
                <c:pt idx="26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Model'!$C$43:$AC$43</c:f>
              <c:numCache>
                <c:formatCode>General</c:formatCode>
                <c:ptCount val="27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  <c:pt idx="23">
                  <c:v>74</c:v>
                </c:pt>
                <c:pt idx="24">
                  <c:v>25</c:v>
                </c:pt>
                <c:pt idx="25">
                  <c:v>47</c:v>
                </c:pt>
                <c:pt idx="2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Model'!$C$44:$AC$44</c:f>
              <c:numCache>
                <c:formatCode>General</c:formatCode>
                <c:ptCount val="27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  <c:pt idx="23">
                  <c:v>25</c:v>
                </c:pt>
                <c:pt idx="24">
                  <c:v>7</c:v>
                </c:pt>
                <c:pt idx="25">
                  <c:v>19</c:v>
                </c:pt>
                <c:pt idx="2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Model'!$C$45:$AC$45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Model'!$C$46:$AC$46</c:f>
              <c:numCache>
                <c:formatCode>General</c:formatCode>
                <c:ptCount val="27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  <c:pt idx="25">
                  <c:v>8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Model'!$C$47:$AC$47</c:f>
              <c:numCache>
                <c:formatCode>General</c:formatCode>
                <c:ptCount val="2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Model'!$C$48:$AC$48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Model'!$C$49:$AC$49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Model'!$C$50:$AC$50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17</c:v>
                </c:pt>
                <c:pt idx="24">
                  <c:v>4</c:v>
                </c:pt>
                <c:pt idx="25">
                  <c:v>7</c:v>
                </c:pt>
                <c:pt idx="2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Model'!$C$51:$AC$51</c:f>
              <c:numCache>
                <c:formatCode>General</c:formatCode>
                <c:ptCount val="27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Model'!$C$52:$AC$52</c:f>
              <c:numCache>
                <c:formatCode>General</c:formatCode>
                <c:ptCount val="27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  <c:pt idx="23">
                  <c:v>49</c:v>
                </c:pt>
                <c:pt idx="24">
                  <c:v>18</c:v>
                </c:pt>
                <c:pt idx="25">
                  <c:v>27</c:v>
                </c:pt>
                <c:pt idx="2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Model'!$C$53:$AC$53</c:f>
              <c:numCache>
                <c:formatCode>General</c:formatCode>
                <c:ptCount val="27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  <c:pt idx="23">
                  <c:v>30</c:v>
                </c:pt>
                <c:pt idx="24">
                  <c:v>11</c:v>
                </c:pt>
                <c:pt idx="25">
                  <c:v>20</c:v>
                </c:pt>
                <c:pt idx="2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Model'!$C$54:$AC$54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  <c:pt idx="23">
                  <c:v>19</c:v>
                </c:pt>
                <c:pt idx="24">
                  <c:v>0</c:v>
                </c:pt>
                <c:pt idx="25">
                  <c:v>7</c:v>
                </c:pt>
                <c:pt idx="2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Model'!$C$55:$AC$55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Model'!$C$9:$AC$9</c:f>
              <c:numCache>
                <c:formatCode>#,##0.0</c:formatCode>
                <c:ptCount val="27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  <c:pt idx="23">
                  <c:v>1975.1</c:v>
                </c:pt>
                <c:pt idx="24">
                  <c:v>896.6</c:v>
                </c:pt>
                <c:pt idx="25">
                  <c:v>1494.2000000000003</c:v>
                </c:pt>
                <c:pt idx="26">
                  <c:v>1692.3999999999999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Backlog'!$B$1:$AB$1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'Order &amp; Backlog'!$B$3:$AB$3</c:f>
              <c:numCache>
                <c:formatCode>#,##0</c:formatCode>
                <c:ptCount val="27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  <c:pt idx="23">
                  <c:v>2090</c:v>
                </c:pt>
                <c:pt idx="24">
                  <c:v>2180</c:v>
                </c:pt>
                <c:pt idx="25">
                  <c:v>2200</c:v>
                </c:pt>
                <c:pt idx="26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Backlog'!$B$1:$AB$1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'Order &amp; Backlog'!$B$12:$AB$12</c:f>
              <c:numCache>
                <c:formatCode>#,##0</c:formatCode>
                <c:ptCount val="27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  <c:pt idx="23">
                  <c:v>1797</c:v>
                </c:pt>
                <c:pt idx="24">
                  <c:v>1804</c:v>
                </c:pt>
                <c:pt idx="25">
                  <c:v>1823</c:v>
                </c:pt>
                <c:pt idx="26">
                  <c:v>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Backlog'!$B$1:$AB$1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'Order &amp; Backlog'!$B$21:$AB$21</c:f>
              <c:numCache>
                <c:formatCode>#,##0</c:formatCode>
                <c:ptCount val="27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  <c:pt idx="23">
                  <c:v>298</c:v>
                </c:pt>
                <c:pt idx="24">
                  <c:v>381</c:v>
                </c:pt>
                <c:pt idx="25">
                  <c:v>382</c:v>
                </c:pt>
                <c:pt idx="26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</xdr:colOff>
      <xdr:row>0</xdr:row>
      <xdr:rowOff>0</xdr:rowOff>
    </xdr:from>
    <xdr:to>
      <xdr:col>29</xdr:col>
      <xdr:colOff>9525</xdr:colOff>
      <xdr:row>154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8792825" y="0"/>
          <a:ext cx="0" cy="249650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19050</xdr:colOff>
      <xdr:row>0</xdr:row>
      <xdr:rowOff>0</xdr:rowOff>
    </xdr:from>
    <xdr:to>
      <xdr:col>40</xdr:col>
      <xdr:colOff>19050</xdr:colOff>
      <xdr:row>154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428875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19050</xdr:colOff>
      <xdr:row>0</xdr:row>
      <xdr:rowOff>0</xdr:rowOff>
    </xdr:from>
    <xdr:to>
      <xdr:col>28</xdr:col>
      <xdr:colOff>19050</xdr:colOff>
      <xdr:row>59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8040350" y="0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12700</xdr:colOff>
      <xdr:row>0</xdr:row>
      <xdr:rowOff>0</xdr:rowOff>
    </xdr:from>
    <xdr:to>
      <xdr:col>37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ance.yahoo.com/news/l3harris-embraer-develop-agile-tanker-120000469.html" TargetMode="External"/><Relationship Id="rId18" Type="http://schemas.openxmlformats.org/officeDocument/2006/relationships/hyperlink" Target="https://simpleflying.com/embraer-hire-1000-brazil/" TargetMode="External"/><Relationship Id="rId26" Type="http://schemas.openxmlformats.org/officeDocument/2006/relationships/hyperlink" Target="https://www.defensenews.com/industry/2023/12/04/south-korea-picks-embraers-c-390-for-military-transport-aircraft/" TargetMode="External"/><Relationship Id="rId39" Type="http://schemas.openxmlformats.org/officeDocument/2006/relationships/hyperlink" Target="https://www.aerotime.aero/articles/czech-republic-embraer-c-390-transport-aircraft" TargetMode="External"/><Relationship Id="rId21" Type="http://schemas.openxmlformats.org/officeDocument/2006/relationships/hyperlink" Target="https://www.flightglobal.com/airframers/embraer-pushes-back-turboprop-launch-decision-citing-supplier-readiness/151305.article" TargetMode="External"/><Relationship Id="rId34" Type="http://schemas.openxmlformats.org/officeDocument/2006/relationships/hyperlink" Target="https://www.reuters.com/business/aerospace-defense/embraer-formalizes-c-390-sales-austria-netherlands-deliveries-2027-2024-07-22/" TargetMode="External"/><Relationship Id="rId42" Type="http://schemas.openxmlformats.org/officeDocument/2006/relationships/hyperlink" Target="https://www.airdatanews.com/embraers-e190f-freighter-is-certified-by-easa/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https://www.airdatanews.com/how-many-kc-390s-can-embraer-sell-to-potential-interested-countries/" TargetMode="External"/><Relationship Id="rId2" Type="http://schemas.openxmlformats.org/officeDocument/2006/relationships/hyperlink" Target="https://en.wikipedia.org/wiki/Embraer_next-generation_turboprop" TargetMode="External"/><Relationship Id="rId16" Type="http://schemas.openxmlformats.org/officeDocument/2006/relationships/hyperlink" Target="https://www.embraercommercialaviation.com/news/e195-e2-makes-debut-touchdown-at-london-city-airport/" TargetMode="External"/><Relationship Id="rId29" Type="http://schemas.openxmlformats.org/officeDocument/2006/relationships/hyperlink" Target="https://www.reuters.com/business/aerospace-defense/american-airlines-orders-260-new-aircraft-airbus-boeing-embraer-2024-03-04/" TargetMode="External"/><Relationship Id="rId1" Type="http://schemas.openxmlformats.org/officeDocument/2006/relationships/hyperlink" Target="https://ri.embraer.com.br/en/" TargetMode="External"/><Relationship Id="rId6" Type="http://schemas.openxmlformats.org/officeDocument/2006/relationships/hyperlink" Target="https://en.wikipedia.org/wiki/Embraer" TargetMode="External"/><Relationship Id="rId11" Type="http://schemas.openxmlformats.org/officeDocument/2006/relationships/hyperlink" Target="https://en.wikipedia.org/wiki/Boeing%E2%80%93Embraer_joint_venture" TargetMode="External"/><Relationship Id="rId24" Type="http://schemas.openxmlformats.org/officeDocument/2006/relationships/hyperlink" Target="https://www.airforce-technology.com/news/embraer-a-29n-super-tucano-nato-configuration/" TargetMode="External"/><Relationship Id="rId32" Type="http://schemas.openxmlformats.org/officeDocument/2006/relationships/hyperlink" Target="https://www.wsj.com/business/airlines/boeing-partner-embraer-aircraft-manufacturing-edf3758a" TargetMode="External"/><Relationship Id="rId37" Type="http://schemas.openxmlformats.org/officeDocument/2006/relationships/hyperlink" Target="https://www.reuters.com/business/aerospace-defense/embraer-says-boeing-will-pay-150-million-withdrawal-tie-up-talks-2024-09-16/" TargetMode="External"/><Relationship Id="rId40" Type="http://schemas.openxmlformats.org/officeDocument/2006/relationships/hyperlink" Target="https://www.scramble.nl/military-news/morocco-new-customer-for-the-c-390-millennium" TargetMode="External"/><Relationship Id="rId45" Type="http://schemas.openxmlformats.org/officeDocument/2006/relationships/hyperlink" Target="https://aerospaceglobalnews.com/news/millennium-momentum-slovakia-latest-nation-to-select-embraer-c-390/" TargetMode="External"/><Relationship Id="rId5" Type="http://schemas.openxmlformats.org/officeDocument/2006/relationships/hyperlink" Target="https://simpleflying.com/category/aviation-news/embraer-news/" TargetMode="External"/><Relationship Id="rId15" Type="http://schemas.openxmlformats.org/officeDocument/2006/relationships/hyperlink" Target="https://finance.yahoo.com/news/1-embraer-expects-select-engine-203238770.html" TargetMode="External"/><Relationship Id="rId23" Type="http://schemas.openxmlformats.org/officeDocument/2006/relationships/hyperlink" Target="https://simpleflying.com/embraer-first-e190-p2f-expected-entry-service-2024/" TargetMode="External"/><Relationship Id="rId28" Type="http://schemas.openxmlformats.org/officeDocument/2006/relationships/hyperlink" Target="https://www.reuters.com/business/aerospace-defense/luxair-orders-four-embraer-e195-e2-with-options-more-2023-10-11/" TargetMode="External"/><Relationship Id="rId36" Type="http://schemas.openxmlformats.org/officeDocument/2006/relationships/hyperlink" Target="https://economictimes.indiatimes.com/industry/transportation/airlines-/-aviation/brazilian-aerospace-company-embraer-in-talks-with-govt-for-tieup-but-seeks-market-access-for-its-jets/articleshow/112411870.cms?from=mdr" TargetMode="External"/><Relationship Id="rId10" Type="http://schemas.openxmlformats.org/officeDocument/2006/relationships/hyperlink" Target="https://aviationsourcenews.com/news/royal-jordanian-signs-mou-for-10-embraer-e2-aircraft/" TargetMode="External"/><Relationship Id="rId19" Type="http://schemas.openxmlformats.org/officeDocument/2006/relationships/hyperlink" Target="https://embraer.com/global/en/news?slug=1207111-embraer-closes-us-650-million-syndicated-credit-facility" TargetMode="External"/><Relationship Id="rId31" Type="http://schemas.openxmlformats.org/officeDocument/2006/relationships/hyperlink" Target="https://bulgarianmilitary.com/2024/03/20/saudi-swaps-us-made-c-130-aircraft-for-embraers-en-route-to-brics/" TargetMode="External"/><Relationship Id="rId44" Type="http://schemas.openxmlformats.org/officeDocument/2006/relationships/hyperlink" Target="https://battlemachines.org/2023/01/23/boeing-p-8a-vs-kawasaki-p-1-the-comparison-of-modern-mpas/" TargetMode="External"/><Relationship Id="rId4" Type="http://schemas.openxmlformats.org/officeDocument/2006/relationships/hyperlink" Target="https://en.wikipedia.org/wiki/Embraer_E-Jet_E2_family" TargetMode="External"/><Relationship Id="rId9" Type="http://schemas.openxmlformats.org/officeDocument/2006/relationships/hyperlink" Target="https://finance.yahoo.com/news/brazils-embraer-gets-fresh-e195-142739784.html" TargetMode="External"/><Relationship Id="rId14" Type="http://schemas.openxmlformats.org/officeDocument/2006/relationships/hyperlink" Target="https://finance.yahoo.com/news/embraer-erj-teams-lhx-upgrade-102310718.html" TargetMode="External"/><Relationship Id="rId22" Type="http://schemas.openxmlformats.org/officeDocument/2006/relationships/hyperlink" Target="https://www.ainonline.com/aviation-news/business-aviation/2023-01-19/embraer-certifies-medevac-interior-phenom-300" TargetMode="External"/><Relationship Id="rId27" Type="http://schemas.openxmlformats.org/officeDocument/2006/relationships/hyperlink" Target="https://www.flightglobal.com/fleets/porter-airlines-orders-25-more-embraer-195-e2s/156041.article" TargetMode="External"/><Relationship Id="rId30" Type="http://schemas.openxmlformats.org/officeDocument/2006/relationships/hyperlink" Target="https://simpleflying.com/embraer-e2-120-minute-etops-approved/" TargetMode="External"/><Relationship Id="rId35" Type="http://schemas.openxmlformats.org/officeDocument/2006/relationships/hyperlink" Target="https://www.reuters.com/business/aerospace-defense/embraer-poised-win-e190-e2-jet-order-virgin-australia-sources-say-2024-08-12/" TargetMode="External"/><Relationship Id="rId43" Type="http://schemas.openxmlformats.org/officeDocument/2006/relationships/hyperlink" Target="https://www.reuters.com/business/aerospace-defense/brazils-embraer-signs-mou-expand-collaboration-with-indonesias-ptdi-2024-11-18/" TargetMode="External"/><Relationship Id="rId8" Type="http://schemas.openxmlformats.org/officeDocument/2006/relationships/hyperlink" Target="https://theaircurrent.com/feed/dispatches/embraer-automated-takeoff-e2-190-195-e2ts/" TargetMode="External"/><Relationship Id="rId3" Type="http://schemas.openxmlformats.org/officeDocument/2006/relationships/hyperlink" Target="https://en.wikipedia.org/wiki/Airbus_A220" TargetMode="External"/><Relationship Id="rId12" Type="http://schemas.openxmlformats.org/officeDocument/2006/relationships/hyperlink" Target="https://www.exyuaviation.com/2022/09/embraers-offer-to-croatia-airlines-too.html" TargetMode="External"/><Relationship Id="rId17" Type="http://schemas.openxmlformats.org/officeDocument/2006/relationships/hyperlink" Target="https://aircraft-analytics.com/insights/efeature-5-2/" TargetMode="External"/><Relationship Id="rId25" Type="http://schemas.openxmlformats.org/officeDocument/2006/relationships/hyperlink" Target="https://www.airdatanews.com/austria-confirms-acquisition-of-four-embraer-c-390-millennium/" TargetMode="External"/><Relationship Id="rId33" Type="http://schemas.openxmlformats.org/officeDocument/2006/relationships/hyperlink" Target="https://www.scramble.nl/civil-news/lot-leases-e195-e2s" TargetMode="External"/><Relationship Id="rId38" Type="http://schemas.openxmlformats.org/officeDocument/2006/relationships/hyperlink" Target="https://www.reuters.com/business/aerospace-defense/embraer-says-south-africa-talks-purchase-c-390-aircraft-2024-09-25/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simpleflying.com/embraers-e190-e2-wins-certification-in-china/" TargetMode="External"/><Relationship Id="rId41" Type="http://schemas.openxmlformats.org/officeDocument/2006/relationships/hyperlink" Target="https://www.reuters.com/business/aerospace-defense/sweden-picks-embraers-c-390-new-military-cargo-aircraft-2024-11-09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hyperlink" Target="https://api.mziq.com/mzfilemanager/v2/d/12a56b3a-7b37-4dba-b80a-f3358bf66b71/26360f76-bbd7-068d-33a7-a6ccb33913c1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hyperlink" Target="https://api.mziq.com/mzfilemanager/v2/d/12a56b3a-7b37-4dba-b80a-f3358bf66b71/26360f76-bbd7-068d-33a7-a6ccb33913c1?origin=1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29" Type="http://schemas.openxmlformats.org/officeDocument/2006/relationships/hyperlink" Target="https://api.mziq.com/mzfilemanager/v2/d/12a56b3a-7b37-4dba-b80a-f3358bf66b71/7fb6ebb8-77f7-f320-8e62-d087e55cbcdc?origin=1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hyperlink" Target="https://api.mziq.com/mzfilemanager/v2/d/12a56b3a-7b37-4dba-b80a-f3358bf66b71/d3a130f6-c1a4-6915-fc92-a17833d9778b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31" Type="http://schemas.openxmlformats.org/officeDocument/2006/relationships/drawing" Target="../drawings/drawing2.xm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hyperlink" Target="https://api.mziq.com/mzfilemanager/v2/d/12a56b3a-7b37-4dba-b80a-f3358bf66b71/68dfed36-c610-94ed-f190-baef3b7898d3?origin=1" TargetMode="External"/><Relationship Id="rId30" Type="http://schemas.openxmlformats.org/officeDocument/2006/relationships/printerSettings" Target="../printerSettings/printerSettings2.bin"/><Relationship Id="rId8" Type="http://schemas.openxmlformats.org/officeDocument/2006/relationships/hyperlink" Target="https://api.mziq.com/mzfilemanager/v2/d/12a56b3a-7b37-4dba-b80a-f3358bf66b71/4f0fe7bc-3e0a-4bdb-8281-e0421dabd505?origin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34" Type="http://schemas.openxmlformats.org/officeDocument/2006/relationships/hyperlink" Target="https://api.mziq.com/mzfilemanager/v2/d/12a56b3a-7b37-4dba-b80a-f3358bf66b71/321ee532-8d4c-2f9b-3467-95b21f21a958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hyperlink" Target="https://api.mziq.com/mzfilemanager/v2/d/12a56b3a-7b37-4dba-b80a-f3358bf66b71/5e37882c-291d-4067-b6de-b96b75a65411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hyperlink" Target="https://api.mziq.com/mzfilemanager/v2/d/12a56b3a-7b37-4dba-b80a-f3358bf66b71/1f93ea05-b6aa-35c4-57cf-ebe1b33b1132?origin=1" TargetMode="External"/><Relationship Id="rId37" Type="http://schemas.openxmlformats.org/officeDocument/2006/relationships/drawing" Target="../drawings/drawing4.xm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35" Type="http://schemas.openxmlformats.org/officeDocument/2006/relationships/hyperlink" Target="https://api.mziq.com/mzfilemanager/v2/d/12a56b3a-7b37-4dba-b80a-f3358bf66b71/2b16ed5c-c92c-7b8e-252e-3f6536999e2e?origin=1" TargetMode="External"/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108"/>
  <sheetViews>
    <sheetView tabSelected="1" topLeftCell="B25" zoomScaleNormal="100" workbookViewId="0">
      <selection activeCell="Y58" sqref="Y58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16" t="s">
        <v>2</v>
      </c>
      <c r="C5" s="117"/>
      <c r="D5" s="118"/>
      <c r="G5" s="116" t="s">
        <v>10</v>
      </c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8"/>
      <c r="T5" s="116" t="s">
        <v>133</v>
      </c>
      <c r="U5" s="117"/>
      <c r="V5" s="117"/>
      <c r="W5" s="118"/>
      <c r="Y5" s="116" t="s">
        <v>313</v>
      </c>
      <c r="Z5" s="117"/>
      <c r="AA5" s="118"/>
    </row>
    <row r="6" spans="1:29">
      <c r="B6" s="4" t="s">
        <v>3</v>
      </c>
      <c r="C6" s="3">
        <v>37.659999999999997</v>
      </c>
      <c r="D6" s="17"/>
      <c r="G6" s="9"/>
      <c r="H6" s="34"/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Y6" s="39" t="s">
        <v>314</v>
      </c>
      <c r="Z6" s="34"/>
      <c r="AA6" s="35"/>
    </row>
    <row r="7" spans="1:29">
      <c r="B7" s="4" t="s">
        <v>4</v>
      </c>
      <c r="C7" s="3">
        <f>+'Financial Model'!AC27/4</f>
        <v>183.65</v>
      </c>
      <c r="D7" s="17" t="s">
        <v>328</v>
      </c>
      <c r="G7" s="8">
        <v>45627</v>
      </c>
      <c r="H7" s="92" t="s">
        <v>332</v>
      </c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Y7" s="41" t="s">
        <v>315</v>
      </c>
      <c r="Z7" s="34"/>
      <c r="AA7" s="35"/>
    </row>
    <row r="8" spans="1:29">
      <c r="B8" s="4" t="s">
        <v>5</v>
      </c>
      <c r="C8" s="11">
        <f>C6*C7</f>
        <v>6916.259</v>
      </c>
      <c r="D8" s="17"/>
      <c r="G8" s="9"/>
      <c r="H8" s="34"/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Y8" s="39"/>
      <c r="Z8" s="34"/>
      <c r="AA8" s="35"/>
    </row>
    <row r="9" spans="1:29">
      <c r="B9" s="4" t="s">
        <v>6</v>
      </c>
      <c r="C9" s="11">
        <f>+'Financial Model'!AC127</f>
        <v>1772</v>
      </c>
      <c r="D9" s="17" t="s">
        <v>328</v>
      </c>
      <c r="G9" s="8">
        <v>45627</v>
      </c>
      <c r="H9" s="92" t="s">
        <v>331</v>
      </c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  <c r="Y9" s="39" t="s">
        <v>316</v>
      </c>
      <c r="Z9" s="34"/>
      <c r="AA9" s="35"/>
    </row>
    <row r="10" spans="1:29">
      <c r="B10" s="4" t="s">
        <v>7</v>
      </c>
      <c r="C10" s="11">
        <f>+'Financial Model'!AC128</f>
        <v>2675.3</v>
      </c>
      <c r="D10" s="17" t="s">
        <v>328</v>
      </c>
      <c r="G10" s="9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  <c r="Y10" s="112" t="s">
        <v>317</v>
      </c>
      <c r="Z10" s="32"/>
      <c r="AA10" s="33"/>
    </row>
    <row r="11" spans="1:29">
      <c r="B11" s="4" t="s">
        <v>8</v>
      </c>
      <c r="C11" s="11">
        <f>+'Financial Model'!AC129</f>
        <v>-903.30000000000018</v>
      </c>
      <c r="D11" s="17" t="s">
        <v>328</v>
      </c>
      <c r="G11" s="8">
        <v>45597</v>
      </c>
      <c r="H11" s="92" t="s">
        <v>330</v>
      </c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7819.5590000000002</v>
      </c>
      <c r="D12" s="18"/>
      <c r="G12" s="9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16" t="s">
        <v>215</v>
      </c>
      <c r="Z12" s="117"/>
      <c r="AA12" s="117"/>
      <c r="AB12" s="117"/>
      <c r="AC12" s="118"/>
    </row>
    <row r="13" spans="1:29">
      <c r="G13" s="8">
        <v>45597</v>
      </c>
      <c r="H13" s="92" t="s">
        <v>329</v>
      </c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6"/>
      <c r="Z13" s="128" t="s">
        <v>216</v>
      </c>
      <c r="AA13" s="128"/>
      <c r="AB13" s="128" t="s">
        <v>217</v>
      </c>
      <c r="AC13" s="133"/>
    </row>
    <row r="14" spans="1:29">
      <c r="G14" s="9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218</v>
      </c>
      <c r="Z14" s="125" t="s">
        <v>227</v>
      </c>
      <c r="AA14" s="125"/>
      <c r="AB14" s="125" t="s">
        <v>228</v>
      </c>
      <c r="AC14" s="124"/>
    </row>
    <row r="15" spans="1:29">
      <c r="B15" s="116" t="s">
        <v>14</v>
      </c>
      <c r="C15" s="117"/>
      <c r="D15" s="118"/>
      <c r="G15" s="8">
        <v>45597</v>
      </c>
      <c r="H15" s="92" t="s">
        <v>326</v>
      </c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219</v>
      </c>
      <c r="Z15" s="125" t="s">
        <v>223</v>
      </c>
      <c r="AA15" s="125"/>
      <c r="AB15" s="125" t="s">
        <v>229</v>
      </c>
      <c r="AC15" s="124"/>
    </row>
    <row r="16" spans="1:29">
      <c r="A16" s="13" t="s">
        <v>16</v>
      </c>
      <c r="B16" s="15" t="s">
        <v>15</v>
      </c>
      <c r="C16" s="125" t="s">
        <v>18</v>
      </c>
      <c r="D16" s="124"/>
      <c r="E16" s="3" t="s">
        <v>301</v>
      </c>
      <c r="G16" s="9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220</v>
      </c>
      <c r="Z16" s="125" t="s">
        <v>224</v>
      </c>
      <c r="AA16" s="125"/>
      <c r="AB16" s="125" t="s">
        <v>230</v>
      </c>
      <c r="AC16" s="124"/>
    </row>
    <row r="17" spans="2:29">
      <c r="B17" s="15" t="s">
        <v>17</v>
      </c>
      <c r="C17" s="125" t="s">
        <v>19</v>
      </c>
      <c r="D17" s="124"/>
      <c r="E17" s="3" t="s">
        <v>301</v>
      </c>
      <c r="G17" s="8">
        <v>45566</v>
      </c>
      <c r="H17" s="92" t="s">
        <v>325</v>
      </c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221</v>
      </c>
      <c r="Z17" s="125" t="s">
        <v>225</v>
      </c>
      <c r="AA17" s="125"/>
      <c r="AB17" s="125" t="s">
        <v>231</v>
      </c>
      <c r="AC17" s="124"/>
    </row>
    <row r="18" spans="2:29">
      <c r="B18" s="15"/>
      <c r="C18" s="125"/>
      <c r="D18" s="124"/>
      <c r="G18" s="9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222</v>
      </c>
      <c r="Z18" s="125" t="s">
        <v>226</v>
      </c>
      <c r="AA18" s="125"/>
      <c r="AB18" s="125" t="s">
        <v>232</v>
      </c>
      <c r="AC18" s="124"/>
    </row>
    <row r="19" spans="2:29">
      <c r="B19" s="16"/>
      <c r="C19" s="144"/>
      <c r="D19" s="145"/>
      <c r="G19" s="8">
        <v>45566</v>
      </c>
      <c r="H19" s="92" t="s">
        <v>322</v>
      </c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233</v>
      </c>
      <c r="Z19" s="125" t="s">
        <v>234</v>
      </c>
      <c r="AA19" s="125"/>
      <c r="AB19" s="125" t="s">
        <v>235</v>
      </c>
      <c r="AC19" s="124"/>
    </row>
    <row r="20" spans="2:29">
      <c r="G20" s="9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239</v>
      </c>
      <c r="Z20" s="125" t="s">
        <v>240</v>
      </c>
      <c r="AA20" s="125"/>
      <c r="AB20" s="125" t="s">
        <v>241</v>
      </c>
      <c r="AC20" s="124"/>
    </row>
    <row r="21" spans="2:29">
      <c r="G21" s="8">
        <v>45536</v>
      </c>
      <c r="H21" s="92" t="s">
        <v>321</v>
      </c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16" t="s">
        <v>20</v>
      </c>
      <c r="C22" s="117"/>
      <c r="D22" s="118"/>
      <c r="G22" s="9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25" t="s">
        <v>132</v>
      </c>
      <c r="D23" s="124"/>
      <c r="G23" s="8">
        <v>45536</v>
      </c>
      <c r="H23" s="92" t="s">
        <v>320</v>
      </c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25">
        <v>1969</v>
      </c>
      <c r="D24" s="124"/>
      <c r="G24" s="9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25"/>
      <c r="D25" s="124"/>
      <c r="G25" s="8">
        <v>45505</v>
      </c>
      <c r="H25" s="92" t="s">
        <v>319</v>
      </c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  <c r="Y25" s="141" t="s">
        <v>286</v>
      </c>
      <c r="Z25" s="142"/>
      <c r="AA25" s="142"/>
      <c r="AB25" s="142"/>
      <c r="AC25" s="143"/>
    </row>
    <row r="26" spans="2:29">
      <c r="B26" s="9" t="s">
        <v>171</v>
      </c>
      <c r="C26" s="131">
        <f>'Financial Model'!AC70</f>
        <v>3340.4</v>
      </c>
      <c r="D26" s="132"/>
      <c r="G26" s="9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  <c r="Y26" s="39" t="s">
        <v>271</v>
      </c>
      <c r="Z26" s="34"/>
      <c r="AA26" s="34"/>
      <c r="AB26" s="34"/>
      <c r="AC26" s="35"/>
    </row>
    <row r="27" spans="2:29">
      <c r="B27" s="9"/>
      <c r="C27" s="125"/>
      <c r="D27" s="124"/>
      <c r="G27" s="8">
        <v>45505</v>
      </c>
      <c r="H27" s="92" t="s">
        <v>318</v>
      </c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5" t="s">
        <v>264</v>
      </c>
      <c r="U27" s="34"/>
      <c r="V27" s="34"/>
      <c r="W27" s="35"/>
      <c r="Y27" s="99" t="s">
        <v>272</v>
      </c>
      <c r="Z27" s="34"/>
      <c r="AA27" s="34"/>
      <c r="AB27" s="34"/>
      <c r="AC27" s="35"/>
    </row>
    <row r="28" spans="2:29">
      <c r="B28" s="9" t="s">
        <v>256</v>
      </c>
      <c r="C28" s="123">
        <f>+'Order &amp; Backlog'!$AB$3</f>
        <v>2017</v>
      </c>
      <c r="D28" s="124"/>
      <c r="G28" s="9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  <c r="Y28" s="99" t="s">
        <v>273</v>
      </c>
      <c r="Z28" s="34"/>
      <c r="AA28" s="34"/>
      <c r="AB28" s="34"/>
      <c r="AC28" s="35"/>
    </row>
    <row r="29" spans="2:29">
      <c r="B29" s="9" t="s">
        <v>257</v>
      </c>
      <c r="C29" s="123">
        <f>'Order &amp; Backlog'!AB21</f>
        <v>374</v>
      </c>
      <c r="D29" s="124"/>
      <c r="G29" s="8">
        <v>45474</v>
      </c>
      <c r="H29" s="92" t="s">
        <v>310</v>
      </c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  <c r="Y29" s="39"/>
      <c r="Z29" s="34"/>
      <c r="AA29" s="34"/>
      <c r="AB29" s="34"/>
      <c r="AC29" s="35"/>
    </row>
    <row r="30" spans="2:29">
      <c r="B30" s="9" t="s">
        <v>208</v>
      </c>
      <c r="C30" s="125">
        <f>'Financial Model'!AC43</f>
        <v>59</v>
      </c>
      <c r="D30" s="124"/>
      <c r="G30" s="9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  <c r="Y30" s="39" t="s">
        <v>274</v>
      </c>
      <c r="Z30" s="34"/>
      <c r="AA30" s="34"/>
      <c r="AB30" s="34"/>
      <c r="AC30" s="35"/>
    </row>
    <row r="31" spans="2:29">
      <c r="B31" s="9" t="s">
        <v>258</v>
      </c>
      <c r="C31" s="126">
        <v>36708</v>
      </c>
      <c r="D31" s="127"/>
      <c r="G31" s="8">
        <v>45474</v>
      </c>
      <c r="H31" s="92" t="s">
        <v>311</v>
      </c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  <c r="Y31" s="100" t="s">
        <v>275</v>
      </c>
      <c r="Z31" s="34"/>
      <c r="AA31" s="34"/>
      <c r="AB31" s="34"/>
      <c r="AC31" s="35"/>
    </row>
    <row r="32" spans="2:29">
      <c r="B32" s="9"/>
      <c r="C32" s="125"/>
      <c r="D32" s="124"/>
      <c r="G32" s="9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  <c r="Y32" s="39"/>
      <c r="Z32" s="34"/>
      <c r="AA32" s="34"/>
      <c r="AB32" s="34"/>
      <c r="AC32" s="35"/>
    </row>
    <row r="33" spans="2:29">
      <c r="B33" s="9" t="s">
        <v>23</v>
      </c>
      <c r="C33" s="28" t="s">
        <v>328</v>
      </c>
      <c r="D33" s="29">
        <f>+'Financial Model'!AC3</f>
        <v>45604</v>
      </c>
      <c r="G33" s="8">
        <v>45413</v>
      </c>
      <c r="H33" s="92" t="s">
        <v>309</v>
      </c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  <c r="Y33" s="104" t="s">
        <v>297</v>
      </c>
      <c r="Z33" s="105"/>
      <c r="AA33" s="105"/>
      <c r="AB33" s="105"/>
      <c r="AC33" s="106"/>
    </row>
    <row r="34" spans="2:29">
      <c r="B34" s="10" t="s">
        <v>24</v>
      </c>
      <c r="C34" s="139" t="s">
        <v>31</v>
      </c>
      <c r="D34" s="140"/>
      <c r="G34" s="9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  <c r="Y34" s="99" t="s">
        <v>276</v>
      </c>
      <c r="Z34" s="34"/>
      <c r="AA34" s="34"/>
      <c r="AB34" s="34"/>
      <c r="AC34" s="35"/>
    </row>
    <row r="35" spans="2:29">
      <c r="G35" s="8">
        <v>45413</v>
      </c>
      <c r="H35" s="92" t="s">
        <v>308</v>
      </c>
      <c r="I35" s="34"/>
      <c r="J35" s="34"/>
      <c r="K35" s="34"/>
      <c r="L35" s="34"/>
      <c r="M35" s="34"/>
      <c r="N35" s="34"/>
      <c r="O35" s="34"/>
      <c r="P35" s="34"/>
      <c r="Q35" s="34"/>
      <c r="R35" s="35"/>
      <c r="Y35" s="100" t="s">
        <v>277</v>
      </c>
      <c r="Z35" s="34"/>
      <c r="AA35" s="34"/>
      <c r="AB35" s="34"/>
      <c r="AC35" s="35"/>
    </row>
    <row r="36" spans="2:29">
      <c r="G36" s="9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5"/>
      <c r="Y36" s="39"/>
      <c r="Z36" s="34"/>
      <c r="AA36" s="34"/>
      <c r="AB36" s="34"/>
      <c r="AC36" s="35"/>
    </row>
    <row r="37" spans="2:29">
      <c r="B37" s="116" t="s">
        <v>25</v>
      </c>
      <c r="C37" s="117"/>
      <c r="D37" s="118"/>
      <c r="G37" s="8">
        <v>44986</v>
      </c>
      <c r="H37" s="92" t="s">
        <v>305</v>
      </c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16" t="s">
        <v>158</v>
      </c>
      <c r="U37" s="117"/>
      <c r="V37" s="117"/>
      <c r="W37" s="118"/>
      <c r="Y37" s="39" t="s">
        <v>278</v>
      </c>
      <c r="Z37" s="34"/>
      <c r="AA37" s="34"/>
      <c r="AB37" s="34"/>
      <c r="AC37" s="35"/>
    </row>
    <row r="38" spans="2:29">
      <c r="B38" s="9" t="s">
        <v>26</v>
      </c>
      <c r="C38" s="129">
        <f>C6/'Financial Model'!AC125</f>
        <v>8.0993752378721755</v>
      </c>
      <c r="D38" s="130"/>
      <c r="G38" s="9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41" t="s">
        <v>299</v>
      </c>
      <c r="U38" s="34"/>
      <c r="V38" s="34"/>
      <c r="W38" s="35"/>
      <c r="Y38" s="99" t="s">
        <v>279</v>
      </c>
      <c r="Z38" s="34"/>
      <c r="AA38" s="34"/>
      <c r="AB38" s="34"/>
      <c r="AC38" s="35"/>
    </row>
    <row r="39" spans="2:29">
      <c r="B39" s="9" t="s">
        <v>27</v>
      </c>
      <c r="C39" s="129">
        <f>+C8/SUM('Financial Model'!Z4:AC4)</f>
        <v>3.4953550310810129</v>
      </c>
      <c r="D39" s="130"/>
      <c r="G39" s="8">
        <v>44986</v>
      </c>
      <c r="H39" s="92" t="s">
        <v>304</v>
      </c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2" t="s">
        <v>300</v>
      </c>
      <c r="U39" s="34"/>
      <c r="V39" s="34"/>
      <c r="W39" s="35"/>
      <c r="Y39" s="39"/>
      <c r="Z39" s="34"/>
      <c r="AA39" s="34"/>
      <c r="AB39" s="34"/>
      <c r="AC39" s="35"/>
    </row>
    <row r="40" spans="2:29">
      <c r="B40" s="10" t="s">
        <v>28</v>
      </c>
      <c r="C40" s="137">
        <f>C6/SUM('Financial Model'!Z26:AC26)</f>
        <v>55.385457457457456</v>
      </c>
      <c r="D40" s="138"/>
      <c r="G40" s="9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/>
      <c r="U40" s="34"/>
      <c r="V40" s="34"/>
      <c r="W40" s="35"/>
      <c r="Y40" s="39" t="s">
        <v>280</v>
      </c>
      <c r="Z40" s="34"/>
      <c r="AA40" s="34"/>
      <c r="AB40" s="34"/>
      <c r="AC40" s="35"/>
    </row>
    <row r="41" spans="2:29">
      <c r="G41" s="8">
        <v>44986</v>
      </c>
      <c r="H41" s="92" t="s">
        <v>303</v>
      </c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  <c r="Y41" s="100" t="s">
        <v>281</v>
      </c>
      <c r="Z41" s="34"/>
      <c r="AA41" s="34"/>
      <c r="AB41" s="34"/>
      <c r="AC41" s="35"/>
    </row>
    <row r="42" spans="2:29">
      <c r="G42" s="9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41"/>
      <c r="U42" s="34"/>
      <c r="V42" s="34"/>
      <c r="W42" s="35"/>
      <c r="Y42" s="39"/>
      <c r="Z42" s="34"/>
      <c r="AA42" s="34"/>
      <c r="AB42" s="34"/>
      <c r="AC42" s="35"/>
    </row>
    <row r="43" spans="2:29">
      <c r="B43" s="116" t="s">
        <v>243</v>
      </c>
      <c r="C43" s="117"/>
      <c r="D43" s="118"/>
      <c r="G43" s="8">
        <v>45261</v>
      </c>
      <c r="H43" s="92" t="s">
        <v>294</v>
      </c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39" t="s">
        <v>159</v>
      </c>
      <c r="U43" s="34"/>
      <c r="V43" s="34"/>
      <c r="W43" s="35"/>
      <c r="Y43" s="39" t="s">
        <v>282</v>
      </c>
      <c r="Z43" s="34"/>
      <c r="AA43" s="34"/>
      <c r="AB43" s="34"/>
      <c r="AC43" s="35"/>
    </row>
    <row r="44" spans="2:29">
      <c r="B44" s="119" t="s">
        <v>244</v>
      </c>
      <c r="C44" s="120"/>
      <c r="D44" s="48" t="s">
        <v>31</v>
      </c>
      <c r="G44" s="9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41" t="s">
        <v>160</v>
      </c>
      <c r="U44" s="34"/>
      <c r="V44" s="34"/>
      <c r="W44" s="35"/>
      <c r="Y44" s="100" t="s">
        <v>283</v>
      </c>
      <c r="Z44" s="34"/>
      <c r="AA44" s="34"/>
      <c r="AB44" s="34"/>
      <c r="AC44" s="35"/>
    </row>
    <row r="45" spans="2:29">
      <c r="B45" s="119" t="s">
        <v>245</v>
      </c>
      <c r="C45" s="120"/>
      <c r="D45" s="48" t="s">
        <v>31</v>
      </c>
      <c r="G45" s="8">
        <v>45231</v>
      </c>
      <c r="H45" s="92" t="s">
        <v>295</v>
      </c>
      <c r="I45" s="34"/>
      <c r="J45" s="34"/>
      <c r="K45" s="34"/>
      <c r="L45" s="34"/>
      <c r="M45" s="34"/>
      <c r="N45" s="34"/>
      <c r="O45" s="34"/>
      <c r="P45" s="34"/>
      <c r="Q45" s="34"/>
      <c r="R45" s="35"/>
      <c r="T45" s="41" t="s">
        <v>161</v>
      </c>
      <c r="U45" s="34"/>
      <c r="V45" s="34"/>
      <c r="W45" s="35"/>
      <c r="Y45" s="99" t="s">
        <v>284</v>
      </c>
      <c r="Z45" s="34"/>
      <c r="AA45" s="34"/>
      <c r="AB45" s="34"/>
      <c r="AC45" s="35"/>
    </row>
    <row r="46" spans="2:29">
      <c r="B46" s="119"/>
      <c r="C46" s="120"/>
      <c r="D46" s="83" t="s">
        <v>31</v>
      </c>
      <c r="G46" s="9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5"/>
      <c r="T46" s="41"/>
      <c r="U46" s="34"/>
      <c r="V46" s="34"/>
      <c r="W46" s="35"/>
      <c r="Y46" s="39"/>
      <c r="Z46" s="34"/>
      <c r="AA46" s="34"/>
      <c r="AB46" s="34"/>
      <c r="AC46" s="35"/>
    </row>
    <row r="47" spans="2:29">
      <c r="B47" s="119"/>
      <c r="C47" s="120"/>
      <c r="D47" s="83" t="s">
        <v>31</v>
      </c>
      <c r="G47" s="8">
        <v>45200</v>
      </c>
      <c r="H47" s="92" t="s">
        <v>296</v>
      </c>
      <c r="I47" s="34"/>
      <c r="J47" s="34"/>
      <c r="K47" s="34"/>
      <c r="L47" s="34"/>
      <c r="M47" s="34"/>
      <c r="N47" s="34"/>
      <c r="O47" s="34"/>
      <c r="P47" s="34"/>
      <c r="Q47" s="34"/>
      <c r="R47" s="35"/>
      <c r="T47" s="57" t="s">
        <v>199</v>
      </c>
      <c r="U47" s="34"/>
      <c r="V47" s="34"/>
      <c r="W47" s="35"/>
      <c r="Y47" s="113" t="s">
        <v>285</v>
      </c>
      <c r="Z47" s="114"/>
      <c r="AA47" s="114"/>
      <c r="AB47" s="114" t="s">
        <v>323</v>
      </c>
      <c r="AC47" s="115"/>
    </row>
    <row r="48" spans="2:29">
      <c r="B48" s="121"/>
      <c r="C48" s="122"/>
      <c r="D48" s="84" t="s">
        <v>31</v>
      </c>
      <c r="G48" s="9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5"/>
      <c r="T48" s="57" t="s">
        <v>200</v>
      </c>
      <c r="U48" s="34"/>
      <c r="V48" s="34"/>
      <c r="W48" s="35"/>
      <c r="Y48" s="100" t="s">
        <v>287</v>
      </c>
      <c r="Z48" s="34"/>
      <c r="AA48" s="34"/>
      <c r="AB48" s="34"/>
      <c r="AC48" s="35"/>
    </row>
    <row r="49" spans="7:29">
      <c r="G49" s="8">
        <v>45170</v>
      </c>
      <c r="H49" s="92" t="s">
        <v>270</v>
      </c>
      <c r="I49" s="34"/>
      <c r="J49" s="34"/>
      <c r="K49" s="34"/>
      <c r="L49" s="34"/>
      <c r="M49" s="34"/>
      <c r="N49" s="34"/>
      <c r="O49" s="34"/>
      <c r="P49" s="34"/>
      <c r="Q49" s="34"/>
      <c r="R49" s="35"/>
      <c r="T49" s="93" t="s">
        <v>262</v>
      </c>
      <c r="U49" s="32"/>
      <c r="V49" s="32"/>
      <c r="W49" s="58" t="s">
        <v>31</v>
      </c>
      <c r="Y49" s="39"/>
      <c r="Z49" s="34"/>
      <c r="AA49" s="34"/>
      <c r="AB49" s="34"/>
      <c r="AC49" s="35"/>
    </row>
    <row r="50" spans="7:29">
      <c r="G50" s="9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5"/>
      <c r="Y50" s="39" t="s">
        <v>288</v>
      </c>
      <c r="Z50" s="34"/>
      <c r="AA50" s="34"/>
      <c r="AB50" s="34"/>
      <c r="AC50" s="35"/>
    </row>
    <row r="51" spans="7:29">
      <c r="G51" s="8">
        <v>45017</v>
      </c>
      <c r="H51" s="92" t="s">
        <v>269</v>
      </c>
      <c r="I51" s="34"/>
      <c r="J51" s="34"/>
      <c r="K51" s="34"/>
      <c r="L51" s="34"/>
      <c r="M51" s="34"/>
      <c r="N51" s="34"/>
      <c r="O51" s="34"/>
      <c r="P51" s="34"/>
      <c r="Q51" s="34"/>
      <c r="R51" s="35"/>
      <c r="Y51" s="100" t="s">
        <v>289</v>
      </c>
      <c r="Z51" s="34"/>
      <c r="AA51" s="34"/>
      <c r="AB51" s="34"/>
      <c r="AC51" s="35"/>
    </row>
    <row r="52" spans="7:29">
      <c r="G52" s="9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5"/>
      <c r="Y52" s="39"/>
      <c r="Z52" s="34"/>
      <c r="AA52" s="34"/>
      <c r="AB52" s="34"/>
      <c r="AC52" s="35"/>
    </row>
    <row r="53" spans="7:29">
      <c r="G53" s="8">
        <v>45017</v>
      </c>
      <c r="H53" s="98" t="s">
        <v>266</v>
      </c>
      <c r="I53" s="34"/>
      <c r="J53" s="34"/>
      <c r="K53" s="34"/>
      <c r="L53" s="34"/>
      <c r="M53" s="34"/>
      <c r="N53" s="34"/>
      <c r="O53" s="34"/>
      <c r="P53" s="34"/>
      <c r="Q53" s="34"/>
      <c r="R53" s="35"/>
      <c r="Y53" s="113" t="s">
        <v>290</v>
      </c>
      <c r="Z53" s="114"/>
      <c r="AA53" s="114"/>
      <c r="AB53" s="114" t="s">
        <v>327</v>
      </c>
      <c r="AC53" s="115"/>
    </row>
    <row r="54" spans="7:29">
      <c r="G54" s="9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5"/>
      <c r="Y54" s="100" t="s">
        <v>291</v>
      </c>
      <c r="Z54" s="34"/>
      <c r="AA54" s="34"/>
      <c r="AB54" s="34"/>
      <c r="AC54" s="35"/>
    </row>
    <row r="55" spans="7:29">
      <c r="G55" s="8">
        <v>44927</v>
      </c>
      <c r="H55" s="94" t="s">
        <v>263</v>
      </c>
      <c r="I55" s="34"/>
      <c r="J55" s="34"/>
      <c r="K55" s="34"/>
      <c r="L55" s="34"/>
      <c r="M55" s="34"/>
      <c r="N55" s="34"/>
      <c r="O55" s="34"/>
      <c r="P55" s="34"/>
      <c r="Q55" s="34"/>
      <c r="R55" s="35"/>
      <c r="Y55" s="100" t="s">
        <v>292</v>
      </c>
      <c r="Z55" s="34"/>
      <c r="AA55" s="34"/>
      <c r="AB55" s="34"/>
      <c r="AC55" s="35"/>
    </row>
    <row r="56" spans="7:29">
      <c r="G56" s="9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5"/>
      <c r="Y56" s="39"/>
      <c r="Z56" s="34"/>
      <c r="AA56" s="34"/>
      <c r="AB56" s="34"/>
      <c r="AC56" s="35"/>
    </row>
    <row r="57" spans="7:29">
      <c r="G57" s="8">
        <v>44896</v>
      </c>
      <c r="H57" s="92" t="s">
        <v>261</v>
      </c>
      <c r="I57" s="34"/>
      <c r="J57" s="34"/>
      <c r="K57" s="34"/>
      <c r="L57" s="34"/>
      <c r="M57" s="34"/>
      <c r="N57" s="34"/>
      <c r="O57" s="34"/>
      <c r="P57" s="34"/>
      <c r="Q57" s="34"/>
      <c r="R57" s="35"/>
      <c r="Y57" s="39" t="s">
        <v>324</v>
      </c>
      <c r="Z57" s="34"/>
      <c r="AA57" s="34"/>
      <c r="AB57" s="34"/>
      <c r="AC57" s="35"/>
    </row>
    <row r="58" spans="7:29">
      <c r="G58" s="9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5"/>
      <c r="Y58" s="39"/>
      <c r="Z58" s="34"/>
      <c r="AA58" s="34"/>
      <c r="AB58" s="34"/>
      <c r="AC58" s="35"/>
    </row>
    <row r="59" spans="7:29">
      <c r="G59" s="8">
        <v>44866</v>
      </c>
      <c r="H59" s="6" t="s">
        <v>259</v>
      </c>
      <c r="I59" s="34"/>
      <c r="J59" s="34"/>
      <c r="K59" s="34"/>
      <c r="L59" s="34"/>
      <c r="M59" s="34"/>
      <c r="N59" s="34"/>
      <c r="O59" s="34"/>
      <c r="P59" s="34"/>
      <c r="Q59" s="34"/>
      <c r="R59" s="35"/>
      <c r="Y59" s="113" t="s">
        <v>333</v>
      </c>
      <c r="Z59" s="146"/>
      <c r="AA59" s="146"/>
      <c r="AB59" s="146" t="s">
        <v>334</v>
      </c>
      <c r="AC59" s="146"/>
    </row>
    <row r="60" spans="7:29">
      <c r="G60" s="9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5"/>
      <c r="Y60" s="101"/>
      <c r="Z60" s="102"/>
      <c r="AA60" s="102"/>
      <c r="AB60" s="102"/>
      <c r="AC60" s="103"/>
    </row>
    <row r="61" spans="7:29">
      <c r="G61" s="8">
        <v>44835</v>
      </c>
      <c r="H61" s="6" t="s">
        <v>250</v>
      </c>
      <c r="I61" s="34"/>
      <c r="J61" s="34"/>
      <c r="K61" s="34"/>
      <c r="L61" s="34"/>
      <c r="M61" s="34"/>
      <c r="N61" s="34"/>
      <c r="O61" s="34"/>
      <c r="P61" s="34"/>
      <c r="Q61" s="34"/>
      <c r="R61" s="35"/>
      <c r="Y61" s="134" t="s">
        <v>293</v>
      </c>
      <c r="Z61" s="135"/>
      <c r="AA61" s="135"/>
      <c r="AB61" s="135"/>
      <c r="AC61" s="136"/>
    </row>
    <row r="62" spans="7:29">
      <c r="G62" s="9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7:29">
      <c r="G63" s="9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5"/>
    </row>
    <row r="64" spans="7:29">
      <c r="G64" s="8">
        <v>44835</v>
      </c>
      <c r="H64" s="6" t="s">
        <v>11</v>
      </c>
      <c r="I64" s="34"/>
      <c r="J64" s="34"/>
      <c r="K64" s="34"/>
      <c r="L64" s="34"/>
      <c r="M64" s="34"/>
      <c r="N64" s="34"/>
      <c r="O64" s="34"/>
      <c r="P64" s="34"/>
      <c r="Q64" s="34"/>
      <c r="R64" s="35"/>
    </row>
    <row r="65" spans="7:18">
      <c r="G65" s="9"/>
      <c r="H65" s="7" t="s">
        <v>12</v>
      </c>
      <c r="I65" s="34"/>
      <c r="J65" s="34"/>
      <c r="K65" s="34"/>
      <c r="L65" s="34"/>
      <c r="M65" s="34"/>
      <c r="N65" s="34"/>
      <c r="O65" s="34"/>
      <c r="P65" s="34"/>
      <c r="Q65" s="34"/>
      <c r="R65" s="35"/>
    </row>
    <row r="66" spans="7:18">
      <c r="G66" s="9"/>
      <c r="H66" s="7" t="s">
        <v>13</v>
      </c>
      <c r="I66" s="34"/>
      <c r="J66" s="34"/>
      <c r="K66" s="34"/>
      <c r="L66" s="34"/>
      <c r="M66" s="34"/>
      <c r="N66" s="34"/>
      <c r="O66" s="34"/>
      <c r="P66" s="34"/>
      <c r="Q66" s="34"/>
      <c r="R66" s="35"/>
    </row>
    <row r="67" spans="7:18">
      <c r="G67" s="9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5"/>
    </row>
    <row r="68" spans="7:18">
      <c r="G68" s="8">
        <v>44835</v>
      </c>
      <c r="H68" s="6" t="s">
        <v>29</v>
      </c>
      <c r="I68" s="34"/>
      <c r="J68" s="34"/>
      <c r="K68" s="34"/>
      <c r="L68" s="34"/>
      <c r="M68" s="34"/>
      <c r="N68" s="34"/>
      <c r="O68" s="34"/>
      <c r="P68" s="34"/>
      <c r="Q68" s="34"/>
      <c r="R68" s="35"/>
    </row>
    <row r="69" spans="7:18">
      <c r="G69" s="9"/>
      <c r="H69" s="7" t="s">
        <v>30</v>
      </c>
      <c r="I69" s="34"/>
      <c r="J69" s="34"/>
      <c r="K69" s="34"/>
      <c r="L69" s="34"/>
      <c r="M69" s="34"/>
      <c r="N69" s="34"/>
      <c r="O69" s="34"/>
      <c r="P69" s="34"/>
      <c r="Q69" s="34"/>
      <c r="R69" s="35"/>
    </row>
    <row r="70" spans="7:18">
      <c r="G70" s="9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5"/>
    </row>
    <row r="71" spans="7:18">
      <c r="G71" s="9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5"/>
    </row>
    <row r="72" spans="7:18">
      <c r="G72" s="8">
        <v>44805</v>
      </c>
      <c r="H72" s="6" t="s">
        <v>187</v>
      </c>
      <c r="I72" s="34"/>
      <c r="J72" s="34"/>
      <c r="K72" s="34"/>
      <c r="L72" s="34"/>
      <c r="M72" s="34"/>
      <c r="N72" s="34"/>
      <c r="O72" s="34"/>
      <c r="P72" s="34"/>
      <c r="Q72" s="34"/>
      <c r="R72" s="35"/>
    </row>
    <row r="73" spans="7:18">
      <c r="G73" s="9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5"/>
    </row>
    <row r="74" spans="7:18">
      <c r="G74" s="9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5"/>
    </row>
    <row r="75" spans="7:18">
      <c r="G75" s="8">
        <v>44805</v>
      </c>
      <c r="H75" s="6" t="s">
        <v>195</v>
      </c>
      <c r="I75" s="34"/>
      <c r="J75" s="34"/>
      <c r="K75" s="34"/>
      <c r="L75" s="34"/>
      <c r="M75" s="34"/>
      <c r="N75" s="34"/>
      <c r="O75" s="34"/>
      <c r="P75" s="34"/>
      <c r="Q75" s="34"/>
      <c r="R75" s="35"/>
    </row>
    <row r="76" spans="7:18">
      <c r="G76" s="9"/>
      <c r="H76" s="7" t="s">
        <v>192</v>
      </c>
      <c r="I76" s="34"/>
      <c r="J76" s="34"/>
      <c r="K76" s="34"/>
      <c r="L76" s="34"/>
      <c r="M76" s="34"/>
      <c r="N76" s="34"/>
      <c r="O76" s="34"/>
      <c r="P76" s="34"/>
      <c r="Q76" s="34"/>
      <c r="R76" s="48" t="s">
        <v>194</v>
      </c>
    </row>
    <row r="77" spans="7:18">
      <c r="G77" s="9"/>
      <c r="H77" s="7" t="s">
        <v>193</v>
      </c>
      <c r="I77" s="34"/>
      <c r="J77" s="34"/>
      <c r="K77" s="34"/>
      <c r="L77" s="34"/>
      <c r="M77" s="34"/>
      <c r="N77" s="34"/>
      <c r="O77" s="34"/>
      <c r="P77" s="34"/>
      <c r="Q77" s="34"/>
      <c r="R77" s="35"/>
    </row>
    <row r="78" spans="7:18">
      <c r="G78" s="9"/>
      <c r="H78" s="7" t="s">
        <v>191</v>
      </c>
      <c r="I78" s="34"/>
      <c r="J78" s="34"/>
      <c r="K78" s="34"/>
      <c r="L78" s="34"/>
      <c r="M78" s="34"/>
      <c r="N78" s="34"/>
      <c r="O78" s="34"/>
      <c r="P78" s="34"/>
      <c r="Q78" s="34"/>
      <c r="R78" s="35"/>
    </row>
    <row r="79" spans="7:18">
      <c r="G79" s="9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5"/>
    </row>
    <row r="80" spans="7:18">
      <c r="G80" s="9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5"/>
    </row>
    <row r="81" spans="7:18">
      <c r="G81" s="8">
        <v>44743</v>
      </c>
      <c r="H81" s="6" t="s">
        <v>196</v>
      </c>
      <c r="I81" s="34"/>
      <c r="J81" s="34"/>
      <c r="K81" s="34"/>
      <c r="L81" s="34"/>
      <c r="M81" s="34"/>
      <c r="N81" s="34"/>
      <c r="O81" s="34"/>
      <c r="P81" s="34"/>
      <c r="Q81" s="34"/>
      <c r="R81" s="35"/>
    </row>
    <row r="82" spans="7:18">
      <c r="G82" s="9"/>
      <c r="H82" s="7" t="s">
        <v>197</v>
      </c>
      <c r="I82" s="34"/>
      <c r="J82" s="34"/>
      <c r="K82" s="34"/>
      <c r="L82" s="34"/>
      <c r="M82" s="34"/>
      <c r="N82" s="34"/>
      <c r="O82" s="34"/>
      <c r="P82" s="34"/>
      <c r="Q82" s="34"/>
      <c r="R82" s="35"/>
    </row>
    <row r="83" spans="7:18">
      <c r="G83" s="9"/>
      <c r="H83" s="47" t="s">
        <v>198</v>
      </c>
      <c r="I83" s="34"/>
      <c r="J83" s="34"/>
      <c r="K83" s="34"/>
      <c r="L83" s="34"/>
      <c r="M83" s="34"/>
      <c r="N83" s="34"/>
      <c r="O83" s="34"/>
      <c r="P83" s="34"/>
      <c r="Q83" s="34"/>
      <c r="R83" s="35"/>
    </row>
    <row r="84" spans="7:18">
      <c r="G84" s="9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5"/>
    </row>
    <row r="85" spans="7:18">
      <c r="G85" s="8">
        <v>44743</v>
      </c>
      <c r="H85" s="6" t="s">
        <v>237</v>
      </c>
      <c r="I85" s="34"/>
      <c r="J85" s="34"/>
      <c r="K85" s="34"/>
      <c r="L85" s="34"/>
      <c r="M85" s="34"/>
      <c r="N85" s="34"/>
      <c r="O85" s="34"/>
      <c r="P85" s="34"/>
      <c r="Q85" s="34"/>
      <c r="R85" s="35"/>
    </row>
    <row r="86" spans="7:18">
      <c r="G86" s="9"/>
      <c r="H86" s="7" t="s">
        <v>238</v>
      </c>
      <c r="I86" s="34"/>
      <c r="J86" s="34"/>
      <c r="K86" s="34"/>
      <c r="L86" s="34"/>
      <c r="M86" s="34"/>
      <c r="N86" s="34"/>
      <c r="O86" s="34"/>
      <c r="P86" s="34"/>
      <c r="Q86" s="34"/>
      <c r="R86" s="35"/>
    </row>
    <row r="87" spans="7:18">
      <c r="G87" s="9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48" t="s">
        <v>31</v>
      </c>
    </row>
    <row r="88" spans="7:18">
      <c r="G88" s="8">
        <v>44682</v>
      </c>
      <c r="H88" s="34" t="s">
        <v>246</v>
      </c>
      <c r="I88" s="34"/>
      <c r="J88" s="34"/>
      <c r="K88" s="34"/>
      <c r="L88" s="34"/>
      <c r="M88" s="34"/>
      <c r="N88" s="34"/>
      <c r="O88" s="34"/>
      <c r="P88" s="34"/>
      <c r="Q88" s="34"/>
      <c r="R88" s="35"/>
    </row>
    <row r="89" spans="7:18">
      <c r="G89" s="9"/>
      <c r="H89" s="7" t="s">
        <v>247</v>
      </c>
      <c r="I89" s="34"/>
      <c r="J89" s="34"/>
      <c r="K89" s="34"/>
      <c r="L89" s="34"/>
      <c r="M89" s="34"/>
      <c r="N89" s="34"/>
      <c r="O89" s="34"/>
      <c r="P89" s="34"/>
      <c r="Q89" s="34"/>
      <c r="R89" s="35"/>
    </row>
    <row r="90" spans="7:18">
      <c r="G90" s="9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5"/>
    </row>
    <row r="91" spans="7:18">
      <c r="G91" s="8">
        <v>43922</v>
      </c>
      <c r="H91" s="34" t="s">
        <v>164</v>
      </c>
      <c r="I91" s="34"/>
      <c r="J91" s="34"/>
      <c r="K91" s="34"/>
      <c r="L91" s="34"/>
      <c r="M91" s="34"/>
      <c r="N91" s="34"/>
      <c r="O91" s="34"/>
      <c r="P91" s="34"/>
      <c r="Q91" s="34"/>
      <c r="R91" s="48" t="s">
        <v>31</v>
      </c>
    </row>
    <row r="92" spans="7:18">
      <c r="G92" s="9"/>
      <c r="H92" s="7" t="s">
        <v>169</v>
      </c>
      <c r="I92" s="34"/>
      <c r="J92" s="34"/>
      <c r="K92" s="34"/>
      <c r="L92" s="34"/>
      <c r="M92" s="34"/>
      <c r="N92" s="34"/>
      <c r="O92" s="34"/>
      <c r="P92" s="34"/>
      <c r="Q92" s="34"/>
      <c r="R92" s="35"/>
    </row>
    <row r="93" spans="7:18">
      <c r="G93" s="9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5"/>
    </row>
    <row r="94" spans="7:18">
      <c r="G94" s="9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5"/>
    </row>
    <row r="95" spans="7:18">
      <c r="G95" s="8">
        <v>43770</v>
      </c>
      <c r="H95" s="34" t="s">
        <v>167</v>
      </c>
      <c r="I95" s="34"/>
      <c r="J95" s="34"/>
      <c r="K95" s="34"/>
      <c r="L95" s="34"/>
      <c r="M95" s="34"/>
      <c r="N95" s="34"/>
      <c r="O95" s="34"/>
      <c r="P95" s="34"/>
      <c r="Q95" s="34"/>
      <c r="R95" s="35"/>
    </row>
    <row r="96" spans="7:18">
      <c r="G96" s="9"/>
      <c r="H96" s="47" t="s">
        <v>168</v>
      </c>
      <c r="I96" s="34"/>
      <c r="J96" s="34"/>
      <c r="K96" s="34"/>
      <c r="L96" s="34"/>
      <c r="M96" s="34"/>
      <c r="N96" s="34"/>
      <c r="O96" s="34"/>
      <c r="P96" s="34"/>
      <c r="Q96" s="34" t="s">
        <v>179</v>
      </c>
      <c r="R96" s="35"/>
    </row>
    <row r="97" spans="7:18">
      <c r="G97" s="9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5"/>
    </row>
    <row r="98" spans="7:18">
      <c r="G98" s="8">
        <v>43739</v>
      </c>
      <c r="H98" s="6" t="s">
        <v>242</v>
      </c>
      <c r="I98" s="34"/>
      <c r="J98" s="34"/>
      <c r="K98" s="34"/>
      <c r="L98" s="34"/>
      <c r="M98" s="34"/>
      <c r="N98" s="34"/>
      <c r="O98" s="34"/>
      <c r="P98" s="34"/>
      <c r="Q98" s="34"/>
      <c r="R98" s="35"/>
    </row>
    <row r="99" spans="7:18">
      <c r="G99" s="9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5"/>
    </row>
    <row r="100" spans="7:18">
      <c r="G100" s="9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5"/>
    </row>
    <row r="101" spans="7:18">
      <c r="G101" s="9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5"/>
    </row>
    <row r="102" spans="7:18">
      <c r="G102" s="8">
        <v>43586</v>
      </c>
      <c r="H102" s="34" t="s">
        <v>166</v>
      </c>
      <c r="I102" s="34"/>
      <c r="J102" s="34"/>
      <c r="K102" s="34"/>
      <c r="L102" s="34"/>
      <c r="M102" s="34"/>
      <c r="N102" s="34"/>
      <c r="O102" s="34"/>
      <c r="P102" s="34"/>
      <c r="Q102" s="34"/>
      <c r="R102" s="35"/>
    </row>
    <row r="103" spans="7:18">
      <c r="G103" s="9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5"/>
    </row>
    <row r="104" spans="7:18">
      <c r="G104" s="8">
        <v>43282</v>
      </c>
      <c r="H104" s="34" t="s">
        <v>162</v>
      </c>
      <c r="I104" s="34"/>
      <c r="J104" s="34"/>
      <c r="K104" s="34"/>
      <c r="L104" s="34"/>
      <c r="M104" s="34"/>
      <c r="N104" s="34"/>
      <c r="O104" s="34"/>
      <c r="P104" s="34"/>
      <c r="Q104" s="34"/>
      <c r="R104" s="35"/>
    </row>
    <row r="105" spans="7:18">
      <c r="G105" s="9"/>
      <c r="H105" s="7" t="s">
        <v>163</v>
      </c>
      <c r="I105" s="34"/>
      <c r="J105" s="34"/>
      <c r="K105" s="34"/>
      <c r="L105" s="34"/>
      <c r="M105" s="34"/>
      <c r="N105" s="34"/>
      <c r="O105" s="34"/>
      <c r="P105" s="34"/>
      <c r="Q105" s="34"/>
      <c r="R105" s="35"/>
    </row>
    <row r="106" spans="7:18">
      <c r="G106" s="9"/>
      <c r="H106" s="7" t="s">
        <v>165</v>
      </c>
      <c r="I106" s="32"/>
      <c r="J106" s="32"/>
      <c r="K106" s="32"/>
      <c r="L106" s="32"/>
      <c r="M106" s="32"/>
      <c r="N106" s="32"/>
      <c r="O106" s="32"/>
      <c r="P106" s="32"/>
      <c r="Q106" s="32"/>
      <c r="R106" s="33"/>
    </row>
    <row r="107" spans="7:18">
      <c r="G107" s="9"/>
      <c r="H107" s="34"/>
    </row>
    <row r="108" spans="7:18">
      <c r="G108" s="85">
        <v>42552</v>
      </c>
      <c r="H108" s="51" t="s">
        <v>236</v>
      </c>
    </row>
  </sheetData>
  <mergeCells count="51">
    <mergeCell ref="Z19:AA19"/>
    <mergeCell ref="AB19:AC19"/>
    <mergeCell ref="Y25:AC25"/>
    <mergeCell ref="C18:D18"/>
    <mergeCell ref="C19:D19"/>
    <mergeCell ref="B22:D22"/>
    <mergeCell ref="C23:D23"/>
    <mergeCell ref="C24:D24"/>
    <mergeCell ref="B5:D5"/>
    <mergeCell ref="G5:R5"/>
    <mergeCell ref="B15:D15"/>
    <mergeCell ref="C16:D16"/>
    <mergeCell ref="C17:D17"/>
    <mergeCell ref="AB16:AC16"/>
    <mergeCell ref="AB17:AC17"/>
    <mergeCell ref="AB18:AC18"/>
    <mergeCell ref="Y61:AC61"/>
    <mergeCell ref="C32:D32"/>
    <mergeCell ref="Z16:AA16"/>
    <mergeCell ref="Z17:AA17"/>
    <mergeCell ref="Z18:AA18"/>
    <mergeCell ref="Z20:AA20"/>
    <mergeCell ref="AB20:AC20"/>
    <mergeCell ref="B43:D43"/>
    <mergeCell ref="T37:W37"/>
    <mergeCell ref="C40:D40"/>
    <mergeCell ref="C27:D27"/>
    <mergeCell ref="C34:D34"/>
    <mergeCell ref="B37:D37"/>
    <mergeCell ref="AB13:AC13"/>
    <mergeCell ref="Y12:AC12"/>
    <mergeCell ref="Z14:AA14"/>
    <mergeCell ref="Z15:AA15"/>
    <mergeCell ref="AB14:AC14"/>
    <mergeCell ref="AB15:AC15"/>
    <mergeCell ref="Y5:AA5"/>
    <mergeCell ref="B45:C45"/>
    <mergeCell ref="B46:C46"/>
    <mergeCell ref="B47:C47"/>
    <mergeCell ref="B48:C48"/>
    <mergeCell ref="C29:D29"/>
    <mergeCell ref="C30:D30"/>
    <mergeCell ref="C31:D31"/>
    <mergeCell ref="C25:D25"/>
    <mergeCell ref="B44:C44"/>
    <mergeCell ref="Z13:AA13"/>
    <mergeCell ref="C38:D38"/>
    <mergeCell ref="C39:D39"/>
    <mergeCell ref="C28:D28"/>
    <mergeCell ref="T5:W5"/>
    <mergeCell ref="C26:D26"/>
  </mergeCells>
  <hyperlinks>
    <hyperlink ref="C34:D34" r:id="rId1" display="Link" xr:uid="{11C3F337-5FA5-4654-84A9-81E0FD7B340B}"/>
    <hyperlink ref="W49" r:id="rId2" xr:uid="{F9FF1395-9489-4EC9-819E-D412DF0569AE}"/>
    <hyperlink ref="Z13:AA13" r:id="rId3" display="A220-300" xr:uid="{76602C0E-D63D-8640-97A0-C7DAD332148A}"/>
    <hyperlink ref="AB13:AC13" r:id="rId4" display="E195-E2" xr:uid="{A43FCCB3-64E0-D54D-A779-4F0C857321F6}"/>
    <hyperlink ref="D45" r:id="rId5" xr:uid="{127B302A-DD6D-6242-BA6C-25C1ED72AA7F}"/>
    <hyperlink ref="D44" r:id="rId6" xr:uid="{5B8750C0-94FB-994C-A836-E02A7A36CFF2}"/>
    <hyperlink ref="Y25:AC25" r:id="rId7" display="KC-390 Potential Buyers" xr:uid="{97B87E97-AF36-4B57-991B-B88C1F014D3C}"/>
    <hyperlink ref="H29" r:id="rId8" xr:uid="{645C2C50-2541-448D-9073-14E40D1DE986}"/>
    <hyperlink ref="H64" r:id="rId9" xr:uid="{0E1650AB-35EE-47C2-9B99-22A7BB88CC6F}"/>
    <hyperlink ref="H68" r:id="rId10" xr:uid="{64917365-2EAB-45F1-BFD3-E1E4F5A494BB}"/>
    <hyperlink ref="R91" r:id="rId11" location="Boeing_Embraer_-_Defense" xr:uid="{CC492105-8696-4FC6-849B-A673602C4CB8}"/>
    <hyperlink ref="H72" r:id="rId12" xr:uid="{E8520AE3-EE90-4F9C-82B7-9DC79CF177B0}"/>
    <hyperlink ref="H75" r:id="rId13" display="L3Harris &amp; Embraer to develop new agile tanker varient of KC-390 to support USAF Operational Imperatives" xr:uid="{51AAA14D-A039-4171-BC04-5AAB9894A308}"/>
    <hyperlink ref="R76" r:id="rId14" display="Link" xr:uid="{AE9B4E32-1957-4A54-8E54-10A62C8F25C4}"/>
    <hyperlink ref="H81" r:id="rId15" display="Reuters report $ERJ expected to select engine in Q4 for potential turboprop launch in 2023" xr:uid="{3D245668-921A-4888-B384-DE0FC15EB559}"/>
    <hyperlink ref="H85" r:id="rId16" xr:uid="{3143C16C-C4FE-C24A-A852-CE844A7EAA94}"/>
    <hyperlink ref="H98" r:id="rId17" display="Airbus confirmed there are no plans to certify the A220-300 for LCY steep approach operations" xr:uid="{4BC4DC42-4422-D843-BFC6-DF67D759C7CD}"/>
    <hyperlink ref="R87" r:id="rId18" xr:uid="{A3EFD621-318B-6143-AEF4-A74D7A31D835}"/>
    <hyperlink ref="H61" r:id="rId19" xr:uid="{78DCAE8D-F9F2-4AFF-AEAC-B88136D9C452}"/>
    <hyperlink ref="H59" r:id="rId20" xr:uid="{3999C1A1-07EF-48B9-810B-2F4E5BB942AE}"/>
    <hyperlink ref="H57" r:id="rId21" xr:uid="{69C93ABC-34D8-0F45-AA69-CEEFC27F1A39}"/>
    <hyperlink ref="H55" r:id="rId22" xr:uid="{6C54B13E-8F7B-4DCC-9E6A-C54F18CCE658}"/>
    <hyperlink ref="H53" r:id="rId23" display="Embraer announce 2024 launch for the E-Jet P2F (cargo conversion) programme" xr:uid="{B3E5B1EC-A783-473C-B70D-A70E417CF572}"/>
    <hyperlink ref="H51" r:id="rId24" xr:uid="{8C20766F-7147-41A6-A699-7D50EF5D73DA}"/>
    <hyperlink ref="H49" r:id="rId25" xr:uid="{56959BC1-F64E-43D0-A4E0-57BAD8FCBCB7}"/>
    <hyperlink ref="H43" r:id="rId26" xr:uid="{84A4CBC1-0653-495A-8986-5434F4F936B2}"/>
    <hyperlink ref="H45" r:id="rId27" xr:uid="{7B01ED77-0E0F-4A8F-9A90-ADADF2B221C0}"/>
    <hyperlink ref="H47" r:id="rId28" xr:uid="{ABF212CC-9083-4443-9432-F7D8F2F254A7}"/>
    <hyperlink ref="H41" r:id="rId29" xr:uid="{689458CC-3F8D-48D3-BFB6-9021D5C41BFE}"/>
    <hyperlink ref="H39" r:id="rId30" display="E2 Jets are approved for ETOPS-120 flight operations" xr:uid="{AFE0E501-14CD-4D1A-91DD-7F4349F2F287}"/>
    <hyperlink ref="H37" r:id="rId31" xr:uid="{C86C50C0-49BF-42B4-ABB6-111374E16D26}"/>
    <hyperlink ref="H35" r:id="rId32" display="Rumours that $ERJ wish to develop a competitor to A320/B737 series of aircraft within the next decade" xr:uid="{F075E770-E613-4A93-8C01-FCD751972BCD}"/>
    <hyperlink ref="H33" r:id="rId33" xr:uid="{922CF349-49E0-4AFB-A330-58034F640FB7}"/>
    <hyperlink ref="H31" r:id="rId34" xr:uid="{DE4DB842-01BE-405E-8254-AC1C82253C72}"/>
    <hyperlink ref="H27" r:id="rId35" xr:uid="{098F501F-A48C-49AD-B4EE-8F3B4711DA32}"/>
    <hyperlink ref="H25" r:id="rId36" xr:uid="{EC3AC3B6-D20B-4612-96C2-C088131B252D}"/>
    <hyperlink ref="H23" r:id="rId37" xr:uid="{327A318F-D59B-4B08-A396-86E7866F07CE}"/>
    <hyperlink ref="H21" r:id="rId38" xr:uid="{F0AB9CE8-A127-4A54-A49C-B0BFF1ECBCFB}"/>
    <hyperlink ref="H19" r:id="rId39" xr:uid="{2BC9EAF5-1571-44CC-AC7B-DE21B8FC3951}"/>
    <hyperlink ref="H17" r:id="rId40" display="Morroco believed to bew new customer of C-390 Millenium of unknown quantity" xr:uid="{3F47C2DD-329C-4BC5-A6B5-C20176AFBF93}"/>
    <hyperlink ref="H15" r:id="rId41" xr:uid="{A923048A-6450-45C2-ACC3-AB91520A7E0B}"/>
    <hyperlink ref="H13" r:id="rId42" xr:uid="{27A9FD28-BFAA-4CE7-A96F-D7021710C4EC}"/>
    <hyperlink ref="H11" r:id="rId43" xr:uid="{C8B6FF80-03B4-4BD1-AD68-DF695B2CE941}"/>
    <hyperlink ref="H9" r:id="rId44" xr:uid="{8B4F87A2-4994-47A8-85A0-21BF57786182}"/>
    <hyperlink ref="H7" r:id="rId45" xr:uid="{7FC8C686-8B9F-422B-AAC9-A7DC3E092641}"/>
  </hyperlinks>
  <pageMargins left="0.7" right="0.7" top="0.75" bottom="0.75" header="0.3" footer="0.3"/>
  <pageSetup paperSize="256" orientation="portrait" horizontalDpi="203" verticalDpi="203" r:id="rId46"/>
  <ignoredErrors>
    <ignoredError sqref="D40 C39:D39" formulaRange="1"/>
  </ignoredErrors>
  <drawing r:id="rId4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V150"/>
  <sheetViews>
    <sheetView zoomScaleNormal="100" workbookViewId="0">
      <pane xSplit="2" ySplit="3" topLeftCell="P31" activePane="bottomRight" state="frozen"/>
      <selection pane="topRight" activeCell="C1" sqref="C1"/>
      <selection pane="bottomLeft" activeCell="A4" sqref="A4"/>
      <selection pane="bottomRight" activeCell="AD52" sqref="AD52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8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267</v>
      </c>
      <c r="X1" s="23" t="s">
        <v>268</v>
      </c>
      <c r="Y1" s="23" t="s">
        <v>298</v>
      </c>
      <c r="Z1" s="23" t="s">
        <v>302</v>
      </c>
      <c r="AA1" s="23" t="s">
        <v>306</v>
      </c>
      <c r="AB1" s="23" t="s">
        <v>307</v>
      </c>
      <c r="AC1" s="23" t="s">
        <v>328</v>
      </c>
      <c r="AE1" s="14" t="s">
        <v>249</v>
      </c>
      <c r="AF1" s="23" t="s">
        <v>248</v>
      </c>
      <c r="AG1" s="14" t="s">
        <v>214</v>
      </c>
      <c r="AH1" s="23" t="s">
        <v>205</v>
      </c>
      <c r="AI1" s="14" t="s">
        <v>77</v>
      </c>
      <c r="AJ1" s="23" t="s">
        <v>78</v>
      </c>
      <c r="AK1" s="14" t="s">
        <v>79</v>
      </c>
      <c r="AL1" s="23" t="s">
        <v>80</v>
      </c>
      <c r="AM1" s="23" t="s">
        <v>81</v>
      </c>
      <c r="AN1" s="23" t="s">
        <v>123</v>
      </c>
      <c r="AO1" s="14" t="s">
        <v>124</v>
      </c>
      <c r="AP1" s="14" t="s">
        <v>125</v>
      </c>
      <c r="AQ1" s="14" t="s">
        <v>126</v>
      </c>
      <c r="AR1" s="14" t="s">
        <v>127</v>
      </c>
      <c r="AS1" s="14" t="s">
        <v>128</v>
      </c>
      <c r="AT1" s="14" t="s">
        <v>129</v>
      </c>
      <c r="AU1" s="14" t="s">
        <v>130</v>
      </c>
      <c r="AV1" s="14" t="s">
        <v>131</v>
      </c>
    </row>
    <row r="2" spans="2:48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X2" s="21">
        <v>45107</v>
      </c>
      <c r="Y2" s="21">
        <v>45199</v>
      </c>
      <c r="Z2" s="21">
        <v>45291</v>
      </c>
      <c r="AA2" s="21">
        <v>45382</v>
      </c>
      <c r="AB2" s="21">
        <v>45473</v>
      </c>
      <c r="AC2" s="21">
        <v>45565</v>
      </c>
      <c r="AE2" s="21">
        <v>42004</v>
      </c>
      <c r="AF2" s="21">
        <v>42369</v>
      </c>
      <c r="AG2" s="21">
        <v>42735</v>
      </c>
      <c r="AH2" s="21">
        <v>43100</v>
      </c>
      <c r="AI2" s="21">
        <v>43465</v>
      </c>
      <c r="AJ2" s="21">
        <v>43830</v>
      </c>
      <c r="AK2" s="21">
        <v>44196</v>
      </c>
      <c r="AL2" s="21">
        <v>44561</v>
      </c>
      <c r="AM2" s="21">
        <f>V2</f>
        <v>44561</v>
      </c>
      <c r="AN2" s="21">
        <f>+Z2</f>
        <v>45291</v>
      </c>
    </row>
    <row r="3" spans="2:48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6">
        <v>44995</v>
      </c>
      <c r="W3" s="96">
        <v>45050</v>
      </c>
      <c r="X3" s="96">
        <v>45152</v>
      </c>
      <c r="Y3" s="96">
        <v>45236</v>
      </c>
      <c r="Z3" s="96">
        <v>45369</v>
      </c>
      <c r="AA3" s="96">
        <v>45419</v>
      </c>
      <c r="AB3" s="96">
        <v>45512</v>
      </c>
      <c r="AC3" s="96">
        <v>45604</v>
      </c>
      <c r="AF3" s="22">
        <v>42066</v>
      </c>
      <c r="AH3" s="22">
        <v>43167</v>
      </c>
      <c r="AJ3" s="22">
        <v>43916</v>
      </c>
      <c r="AL3" s="22">
        <v>44629</v>
      </c>
      <c r="AM3" s="96">
        <f>V3</f>
        <v>44995</v>
      </c>
      <c r="AN3" s="96">
        <f>+Z3</f>
        <v>45369</v>
      </c>
    </row>
    <row r="4" spans="2:48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X4" s="49">
        <v>471.9</v>
      </c>
      <c r="Y4" s="49">
        <v>424.9</v>
      </c>
      <c r="Z4" s="49">
        <v>751.1</v>
      </c>
      <c r="AA4" s="49">
        <v>200.8</v>
      </c>
      <c r="AB4" s="49">
        <v>553.5</v>
      </c>
      <c r="AC4" s="49">
        <v>473.3</v>
      </c>
      <c r="AE4" s="49">
        <v>3163.3</v>
      </c>
      <c r="AF4" s="49">
        <v>3348.7</v>
      </c>
      <c r="AG4" s="49">
        <v>3527</v>
      </c>
      <c r="AH4" s="49">
        <v>3371.8</v>
      </c>
      <c r="AI4" s="49">
        <v>2358.3000000000002</v>
      </c>
      <c r="AJ4" s="49">
        <v>2234.5</v>
      </c>
      <c r="AK4" s="49">
        <v>1114.4000000000001</v>
      </c>
      <c r="AL4" s="49">
        <v>1316.4</v>
      </c>
      <c r="AM4" s="49">
        <f t="shared" ref="AM4:AM10" si="0">SUM(S4:V4)</f>
        <v>1136.0999999999999</v>
      </c>
      <c r="AN4" s="49">
        <f>+SUM(W4:Z4)</f>
        <v>1846.6999999999998</v>
      </c>
    </row>
    <row r="5" spans="2:48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X5" s="49">
        <v>378</v>
      </c>
      <c r="Y5" s="49">
        <v>339.9</v>
      </c>
      <c r="Z5" s="49">
        <v>603.29999999999995</v>
      </c>
      <c r="AA5" s="49">
        <v>239.6</v>
      </c>
      <c r="AB5" s="49">
        <v>335.5</v>
      </c>
      <c r="AC5" s="49">
        <v>561.5</v>
      </c>
      <c r="AE5" s="49">
        <v>1456.4</v>
      </c>
      <c r="AF5" s="49">
        <v>811.1</v>
      </c>
      <c r="AG5" s="49">
        <v>1730.5</v>
      </c>
      <c r="AH5" s="49">
        <v>1484.8</v>
      </c>
      <c r="AI5" s="49">
        <v>1104.3</v>
      </c>
      <c r="AJ5" s="49">
        <v>1397</v>
      </c>
      <c r="AK5" s="49">
        <v>1071.5</v>
      </c>
      <c r="AL5" s="49">
        <v>1130.0999999999999</v>
      </c>
      <c r="AM5" s="49">
        <f t="shared" si="0"/>
        <v>1083.6999999999998</v>
      </c>
      <c r="AN5" s="49">
        <f t="shared" ref="AN5:AN8" si="1">+SUM(W5:Z5)</f>
        <v>1408.3</v>
      </c>
    </row>
    <row r="6" spans="2:48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X6" s="49">
        <v>82.4</v>
      </c>
      <c r="Y6" s="49">
        <v>133.1</v>
      </c>
      <c r="Z6" s="49">
        <v>202.3</v>
      </c>
      <c r="AA6" s="49">
        <v>80.7</v>
      </c>
      <c r="AB6" s="49">
        <v>187.2</v>
      </c>
      <c r="AC6" s="49">
        <v>219.6</v>
      </c>
      <c r="AE6" s="49">
        <v>1591.5</v>
      </c>
      <c r="AF6" s="49">
        <v>1718.6</v>
      </c>
      <c r="AG6" s="49">
        <v>932.7</v>
      </c>
      <c r="AH6" s="49">
        <v>950.7</v>
      </c>
      <c r="AI6" s="49">
        <v>612.1</v>
      </c>
      <c r="AJ6" s="49">
        <v>775.3</v>
      </c>
      <c r="AK6" s="49">
        <v>653.9</v>
      </c>
      <c r="AL6" s="49">
        <v>594.4</v>
      </c>
      <c r="AM6" s="49">
        <f t="shared" si="0"/>
        <v>411.09999999999997</v>
      </c>
      <c r="AN6" s="49">
        <f t="shared" si="1"/>
        <v>515.5</v>
      </c>
    </row>
    <row r="7" spans="2:48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X7" s="49">
        <v>339.7</v>
      </c>
      <c r="Y7" s="49">
        <v>365.8</v>
      </c>
      <c r="Z7" s="49">
        <v>385.8</v>
      </c>
      <c r="AA7" s="49">
        <v>366.4</v>
      </c>
      <c r="AB7" s="49">
        <v>403.6</v>
      </c>
      <c r="AC7" s="49">
        <v>425.5</v>
      </c>
      <c r="AE7" s="49">
        <v>0</v>
      </c>
      <c r="AF7" s="49">
        <v>0</v>
      </c>
      <c r="AG7" s="49">
        <v>0</v>
      </c>
      <c r="AH7" s="49">
        <v>0</v>
      </c>
      <c r="AI7" s="49">
        <v>980.8</v>
      </c>
      <c r="AJ7" s="49">
        <v>1046.7</v>
      </c>
      <c r="AK7" s="49">
        <v>920</v>
      </c>
      <c r="AL7" s="49">
        <v>1132.2</v>
      </c>
      <c r="AM7" s="49">
        <f t="shared" si="0"/>
        <v>1193.6999999999998</v>
      </c>
      <c r="AN7" s="49">
        <f t="shared" si="1"/>
        <v>1417.5</v>
      </c>
    </row>
    <row r="8" spans="2:48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X8" s="49">
        <v>20.3</v>
      </c>
      <c r="Y8" s="49">
        <v>20.7</v>
      </c>
      <c r="Z8" s="49">
        <v>32.6</v>
      </c>
      <c r="AA8" s="49">
        <v>9.1</v>
      </c>
      <c r="AB8" s="49">
        <v>14.4</v>
      </c>
      <c r="AC8" s="49">
        <v>12.5</v>
      </c>
      <c r="AE8" s="49">
        <v>77.599999999999994</v>
      </c>
      <c r="AF8" s="49">
        <v>49.7</v>
      </c>
      <c r="AG8" s="49">
        <v>27.3</v>
      </c>
      <c r="AH8" s="49">
        <v>32</v>
      </c>
      <c r="AI8" s="49">
        <v>15.6</v>
      </c>
      <c r="AJ8" s="49">
        <v>9.1</v>
      </c>
      <c r="AK8" s="49">
        <v>11.3</v>
      </c>
      <c r="AL8" s="49">
        <v>24.1</v>
      </c>
      <c r="AM8" s="49">
        <f t="shared" si="0"/>
        <v>25.5</v>
      </c>
      <c r="AN8" s="49">
        <f t="shared" si="1"/>
        <v>80.5</v>
      </c>
    </row>
    <row r="9" spans="2:48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X9" s="25">
        <f t="shared" ref="X9:Y9" si="2">SUM(X4:X8)</f>
        <v>1292.3</v>
      </c>
      <c r="Y9" s="25">
        <f t="shared" si="2"/>
        <v>1284.4000000000001</v>
      </c>
      <c r="Z9" s="25">
        <f>SUM(Z4:Z8)</f>
        <v>1975.1</v>
      </c>
      <c r="AA9" s="25">
        <f>SUM(AA4:AA8)</f>
        <v>896.6</v>
      </c>
      <c r="AB9" s="25">
        <f>SUM(AB4:AB8)</f>
        <v>1494.2000000000003</v>
      </c>
      <c r="AC9" s="25">
        <f>SUM(AC4:AC8)</f>
        <v>1692.3999999999999</v>
      </c>
      <c r="AE9" s="25">
        <v>6288.8</v>
      </c>
      <c r="AF9" s="25">
        <v>5928.1</v>
      </c>
      <c r="AG9" s="25">
        <v>6217.5</v>
      </c>
      <c r="AH9" s="25">
        <v>5839.3</v>
      </c>
      <c r="AI9" s="25">
        <v>5071.1000000000004</v>
      </c>
      <c r="AJ9" s="25">
        <v>5462.6</v>
      </c>
      <c r="AK9" s="25">
        <v>3771.1</v>
      </c>
      <c r="AL9" s="25">
        <v>4197.2</v>
      </c>
      <c r="AM9" s="25">
        <f t="shared" si="0"/>
        <v>4540.3999999999996</v>
      </c>
      <c r="AN9" s="25">
        <f>SUM(AN4:AN8)</f>
        <v>5268.5</v>
      </c>
      <c r="AO9" s="109">
        <f>+AN9*1.192</f>
        <v>6280.0519999999997</v>
      </c>
    </row>
    <row r="10" spans="2:48" s="11" customFormat="1">
      <c r="B10" s="11" t="s">
        <v>51</v>
      </c>
      <c r="C10" s="11">
        <v>810.2</v>
      </c>
      <c r="D10" s="11">
        <v>1116.2</v>
      </c>
      <c r="E10" s="11">
        <v>940.5</v>
      </c>
      <c r="F10" s="11">
        <v>1436.2</v>
      </c>
      <c r="G10" s="11">
        <v>659.4</v>
      </c>
      <c r="H10" s="11">
        <v>1180.0999999999999</v>
      </c>
      <c r="I10" s="11">
        <v>1021.2</v>
      </c>
      <c r="J10" s="11">
        <v>1806.4</v>
      </c>
      <c r="K10" s="11">
        <v>449.8</v>
      </c>
      <c r="L10" s="11">
        <v>520.79999999999995</v>
      </c>
      <c r="M10" s="11">
        <v>703.9</v>
      </c>
      <c r="N10" s="11">
        <v>1619</v>
      </c>
      <c r="O10" s="11">
        <v>730.9</v>
      </c>
      <c r="P10" s="11">
        <v>924.8</v>
      </c>
      <c r="Q10" s="11">
        <v>776.4</v>
      </c>
      <c r="R10" s="11">
        <v>1105.5</v>
      </c>
      <c r="S10" s="11">
        <v>480.2</v>
      </c>
      <c r="T10" s="11">
        <v>785.6</v>
      </c>
      <c r="U10" s="11">
        <v>751.6</v>
      </c>
      <c r="V10" s="11">
        <v>1610.8</v>
      </c>
      <c r="W10" s="11">
        <v>603</v>
      </c>
      <c r="X10" s="11">
        <v>1069</v>
      </c>
      <c r="Y10" s="11">
        <v>1051.3</v>
      </c>
      <c r="Z10" s="11">
        <v>1635.6</v>
      </c>
      <c r="AA10" s="11">
        <v>727.9</v>
      </c>
      <c r="AB10" s="11">
        <v>1254.2</v>
      </c>
      <c r="AC10" s="11">
        <v>1377.6</v>
      </c>
      <c r="AE10" s="11">
        <v>5038.3</v>
      </c>
      <c r="AF10" s="11">
        <v>4816.8</v>
      </c>
      <c r="AG10" s="11">
        <v>4980.7</v>
      </c>
      <c r="AH10" s="11">
        <v>4773.3999999999996</v>
      </c>
      <c r="AI10" s="11">
        <v>4303.1000000000004</v>
      </c>
      <c r="AJ10" s="11">
        <v>4667.1000000000004</v>
      </c>
      <c r="AK10" s="11">
        <v>3293.5</v>
      </c>
      <c r="AL10" s="11">
        <v>3537.6</v>
      </c>
      <c r="AM10" s="11">
        <f t="shared" si="0"/>
        <v>3628.2</v>
      </c>
      <c r="AN10" s="11">
        <f>+SUM(W10:Z10)</f>
        <v>4358.8999999999996</v>
      </c>
    </row>
    <row r="11" spans="2:48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3">F9-F10</f>
        <v>261.39999999999986</v>
      </c>
      <c r="G11" s="25">
        <f t="shared" si="3"/>
        <v>163.89999999999998</v>
      </c>
      <c r="H11" s="25">
        <f t="shared" si="3"/>
        <v>198.60000000000014</v>
      </c>
      <c r="I11" s="25">
        <f t="shared" si="3"/>
        <v>154.39999999999986</v>
      </c>
      <c r="J11" s="25">
        <f t="shared" si="3"/>
        <v>278.59999999999991</v>
      </c>
      <c r="K11" s="25">
        <f t="shared" si="3"/>
        <v>183.99999999999994</v>
      </c>
      <c r="L11" s="25">
        <f t="shared" si="3"/>
        <v>16.400000000000091</v>
      </c>
      <c r="M11" s="25">
        <f t="shared" si="3"/>
        <v>54.800000000000068</v>
      </c>
      <c r="N11" s="25">
        <f t="shared" ref="N11:AC11" si="4">N9-N10</f>
        <v>222.40000000000009</v>
      </c>
      <c r="O11" s="25">
        <f t="shared" si="4"/>
        <v>76.399999999999977</v>
      </c>
      <c r="P11" s="25">
        <f t="shared" si="4"/>
        <v>205.70000000000005</v>
      </c>
      <c r="Q11" s="25">
        <f t="shared" si="4"/>
        <v>181.70000000000005</v>
      </c>
      <c r="R11" s="25">
        <f t="shared" si="4"/>
        <v>195.79999999999995</v>
      </c>
      <c r="S11" s="25">
        <f t="shared" si="4"/>
        <v>120.69999999999999</v>
      </c>
      <c r="T11" s="25">
        <f t="shared" si="4"/>
        <v>233.29999999999995</v>
      </c>
      <c r="U11" s="25">
        <f t="shared" si="4"/>
        <v>177.39999999999998</v>
      </c>
      <c r="V11" s="25">
        <f t="shared" si="4"/>
        <v>380.79999999999995</v>
      </c>
      <c r="W11" s="25">
        <f t="shared" si="4"/>
        <v>113.69999999999993</v>
      </c>
      <c r="X11" s="25">
        <f t="shared" si="4"/>
        <v>223.29999999999995</v>
      </c>
      <c r="Y11" s="25">
        <f t="shared" si="4"/>
        <v>233.10000000000014</v>
      </c>
      <c r="Z11" s="25">
        <f t="shared" si="4"/>
        <v>339.5</v>
      </c>
      <c r="AA11" s="25">
        <f t="shared" si="4"/>
        <v>168.70000000000005</v>
      </c>
      <c r="AB11" s="25">
        <f t="shared" si="4"/>
        <v>240.00000000000023</v>
      </c>
      <c r="AC11" s="25">
        <f t="shared" si="4"/>
        <v>314.79999999999995</v>
      </c>
      <c r="AE11" s="25">
        <f t="shared" ref="AE11:AJ11" si="5">AE9-AE10</f>
        <v>1250.5</v>
      </c>
      <c r="AF11" s="25">
        <f t="shared" si="5"/>
        <v>1111.3000000000002</v>
      </c>
      <c r="AG11" s="25">
        <f t="shared" si="5"/>
        <v>1236.8000000000002</v>
      </c>
      <c r="AH11" s="25">
        <f t="shared" si="5"/>
        <v>1065.9000000000005</v>
      </c>
      <c r="AI11" s="25">
        <f t="shared" si="5"/>
        <v>768</v>
      </c>
      <c r="AJ11" s="25">
        <f t="shared" si="5"/>
        <v>795.5</v>
      </c>
      <c r="AK11" s="25">
        <f>AK9-AK10</f>
        <v>477.59999999999991</v>
      </c>
      <c r="AL11" s="25">
        <f>AL9-AL10</f>
        <v>659.59999999999991</v>
      </c>
      <c r="AM11" s="25">
        <f>AM9-AM10</f>
        <v>912.19999999999982</v>
      </c>
      <c r="AN11" s="25">
        <f>AN9-AN10</f>
        <v>909.60000000000036</v>
      </c>
    </row>
    <row r="12" spans="2:48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X12" s="11">
        <v>51.3</v>
      </c>
      <c r="Y12" s="3">
        <v>51.4</v>
      </c>
      <c r="Z12" s="11">
        <v>52.1</v>
      </c>
      <c r="AA12" s="3">
        <v>49.8</v>
      </c>
      <c r="AB12" s="3">
        <v>47.3</v>
      </c>
      <c r="AC12" s="11">
        <v>48</v>
      </c>
      <c r="AE12" s="11">
        <v>207.5</v>
      </c>
      <c r="AF12" s="11">
        <v>182</v>
      </c>
      <c r="AG12" s="11">
        <v>164.3</v>
      </c>
      <c r="AH12" s="11">
        <v>179.1</v>
      </c>
      <c r="AI12" s="11">
        <v>182.6</v>
      </c>
      <c r="AJ12" s="11">
        <v>190.2</v>
      </c>
      <c r="AK12" s="11">
        <v>143.4</v>
      </c>
      <c r="AL12" s="11">
        <v>153.19999999999999</v>
      </c>
      <c r="AM12" s="3">
        <v>184.9</v>
      </c>
      <c r="AN12" s="3">
        <f>+SUM(W12:Z12)</f>
        <v>204.9</v>
      </c>
    </row>
    <row r="13" spans="2:48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X13" s="11">
        <v>82.8</v>
      </c>
      <c r="Y13" s="3">
        <v>72.599999999999994</v>
      </c>
      <c r="Z13" s="11">
        <v>91</v>
      </c>
      <c r="AA13" s="3">
        <v>76.900000000000006</v>
      </c>
      <c r="AB13" s="3">
        <v>76</v>
      </c>
      <c r="AC13" s="11">
        <v>77.900000000000006</v>
      </c>
      <c r="AE13" s="11">
        <v>419.9</v>
      </c>
      <c r="AF13" s="11">
        <v>361.6</v>
      </c>
      <c r="AG13" s="11">
        <v>368.6</v>
      </c>
      <c r="AH13" s="11">
        <v>307</v>
      </c>
      <c r="AI13" s="11">
        <v>304.2</v>
      </c>
      <c r="AJ13" s="11">
        <v>285.89999999999998</v>
      </c>
      <c r="AK13" s="11">
        <v>194</v>
      </c>
      <c r="AL13" s="11">
        <v>226.4</v>
      </c>
      <c r="AM13" s="3">
        <f>SUM(S13:V13)</f>
        <v>274.39999999999998</v>
      </c>
      <c r="AN13" s="3">
        <f t="shared" ref="AN13:AN17" si="6">+SUM(W13:Z13)</f>
        <v>314.7</v>
      </c>
    </row>
    <row r="14" spans="2:48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X14" s="11">
        <v>-14.2</v>
      </c>
      <c r="Y14" s="3">
        <v>4.7</v>
      </c>
      <c r="Z14" s="11">
        <v>-1.7</v>
      </c>
      <c r="AA14" s="3">
        <v>3.3</v>
      </c>
      <c r="AB14" s="3">
        <v>0.1</v>
      </c>
      <c r="AC14" s="11">
        <v>-0.5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61.8</v>
      </c>
      <c r="AL14" s="11">
        <v>-13</v>
      </c>
      <c r="AM14" s="3">
        <f>SUM(S14:V14)</f>
        <v>17.400000000000002</v>
      </c>
      <c r="AN14" s="3">
        <f t="shared" si="6"/>
        <v>-10.199999999999999</v>
      </c>
    </row>
    <row r="15" spans="2:48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X15" s="11">
        <v>23.8</v>
      </c>
      <c r="Y15" s="3">
        <v>17</v>
      </c>
      <c r="Z15" s="11">
        <v>17.7</v>
      </c>
      <c r="AA15" s="3">
        <v>12.1</v>
      </c>
      <c r="AB15" s="3">
        <v>15.3</v>
      </c>
      <c r="AC15" s="11">
        <v>9.6</v>
      </c>
      <c r="AE15" s="11">
        <v>47.1</v>
      </c>
      <c r="AF15" s="11">
        <v>41.7</v>
      </c>
      <c r="AG15" s="11">
        <v>47.6</v>
      </c>
      <c r="AH15" s="11">
        <v>49.2</v>
      </c>
      <c r="AI15" s="11">
        <v>46.1</v>
      </c>
      <c r="AJ15" s="11">
        <v>49.4</v>
      </c>
      <c r="AK15" s="11">
        <v>29.8</v>
      </c>
      <c r="AL15" s="11">
        <v>43</v>
      </c>
      <c r="AM15" s="3">
        <f>SUM(S15:V15)</f>
        <v>110</v>
      </c>
      <c r="AN15" s="3">
        <f t="shared" si="6"/>
        <v>90.3</v>
      </c>
    </row>
    <row r="16" spans="2:48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X16" s="11">
        <v>-8.5</v>
      </c>
      <c r="Y16" s="3">
        <v>-9.3000000000000007</v>
      </c>
      <c r="Z16" s="11">
        <v>27</v>
      </c>
      <c r="AA16" s="3">
        <v>-30.2</v>
      </c>
      <c r="AB16" s="3">
        <f>50.4-23.1</f>
        <v>27.299999999999997</v>
      </c>
      <c r="AC16" s="11">
        <f>174.6-66.6</f>
        <v>108</v>
      </c>
      <c r="AE16" s="11">
        <v>-32.6</v>
      </c>
      <c r="AF16" s="11">
        <v>-194.2</v>
      </c>
      <c r="AG16" s="11">
        <v>-450</v>
      </c>
      <c r="AH16" s="11">
        <v>-202.5</v>
      </c>
      <c r="AI16" s="11">
        <v>-199.4</v>
      </c>
      <c r="AJ16" s="11">
        <v>-346.8</v>
      </c>
      <c r="AK16" s="11">
        <v>-374.7</v>
      </c>
      <c r="AL16" s="11">
        <v>-49.8</v>
      </c>
      <c r="AM16" s="3">
        <v>-444.5</v>
      </c>
      <c r="AN16" s="3">
        <f t="shared" si="6"/>
        <v>-5.6000000000000014</v>
      </c>
    </row>
    <row r="17" spans="2:41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X17" s="11">
        <v>2.1</v>
      </c>
      <c r="Y17" s="3">
        <v>6.3</v>
      </c>
      <c r="Z17" s="11">
        <v>1.6</v>
      </c>
      <c r="AA17" s="3">
        <v>-0.3</v>
      </c>
      <c r="AB17" s="3">
        <v>-0.7</v>
      </c>
      <c r="AC17" s="11">
        <v>-2.6</v>
      </c>
      <c r="AE17" s="11">
        <v>-0.1</v>
      </c>
      <c r="AF17" s="11">
        <v>-0.3</v>
      </c>
      <c r="AG17" s="11">
        <v>-0.3</v>
      </c>
      <c r="AH17" s="11">
        <v>1.2</v>
      </c>
      <c r="AI17" s="11">
        <v>-0.4</v>
      </c>
      <c r="AJ17" s="11">
        <v>-0.2</v>
      </c>
      <c r="AK17" s="11">
        <v>2.7</v>
      </c>
      <c r="AL17" s="11">
        <v>1.1000000000000001</v>
      </c>
      <c r="AM17" s="3">
        <f>SUM(S17:V17)</f>
        <v>8.5</v>
      </c>
      <c r="AN17" s="3">
        <f t="shared" si="6"/>
        <v>10.199999999999999</v>
      </c>
    </row>
    <row r="18" spans="2:41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7">F11-F12-F13-F14-F15+F16+F17</f>
        <v>6.5999999999998611</v>
      </c>
      <c r="G18" s="25">
        <f t="shared" si="7"/>
        <v>-15.200000000000017</v>
      </c>
      <c r="H18" s="25">
        <f t="shared" si="7"/>
        <v>26.600000000000144</v>
      </c>
      <c r="I18" s="25">
        <f t="shared" si="7"/>
        <v>-20.800000000000139</v>
      </c>
      <c r="J18" s="25">
        <f t="shared" si="7"/>
        <v>-67.600000000000108</v>
      </c>
      <c r="K18" s="25">
        <f t="shared" si="7"/>
        <v>-46.900000000000055</v>
      </c>
      <c r="L18" s="25">
        <f t="shared" si="7"/>
        <v>-342.39999999999992</v>
      </c>
      <c r="M18" s="25">
        <f t="shared" si="7"/>
        <v>-37.699999999999932</v>
      </c>
      <c r="N18" s="25">
        <f t="shared" ref="N18:AC18" si="8">N11-N12-N13-N14-N15+N16+N17</f>
        <v>103.60000000000011</v>
      </c>
      <c r="O18" s="25">
        <f t="shared" si="8"/>
        <v>-33.100000000000023</v>
      </c>
      <c r="P18" s="25">
        <f t="shared" si="8"/>
        <v>143.80000000000004</v>
      </c>
      <c r="Q18" s="25">
        <f t="shared" si="8"/>
        <v>30.000000000000053</v>
      </c>
      <c r="R18" s="25">
        <f t="shared" si="8"/>
        <v>60.599999999999945</v>
      </c>
      <c r="S18" s="25">
        <f t="shared" si="8"/>
        <v>-36.300000000000011</v>
      </c>
      <c r="T18" s="25">
        <f t="shared" si="8"/>
        <v>66.69999999999996</v>
      </c>
      <c r="U18" s="25">
        <f t="shared" si="8"/>
        <v>11.099999999999987</v>
      </c>
      <c r="V18" s="25">
        <f t="shared" si="8"/>
        <v>141.79999999999995</v>
      </c>
      <c r="W18" s="25">
        <f t="shared" si="8"/>
        <v>-52.100000000000065</v>
      </c>
      <c r="X18" s="25">
        <f t="shared" si="8"/>
        <v>73.199999999999946</v>
      </c>
      <c r="Y18" s="25">
        <f t="shared" si="8"/>
        <v>84.400000000000134</v>
      </c>
      <c r="Z18" s="25">
        <f t="shared" si="8"/>
        <v>208.99999999999997</v>
      </c>
      <c r="AA18" s="25">
        <f t="shared" si="8"/>
        <v>-3.8999999999999551</v>
      </c>
      <c r="AB18" s="25">
        <f t="shared" si="8"/>
        <v>127.90000000000022</v>
      </c>
      <c r="AC18" s="25">
        <f t="shared" si="8"/>
        <v>285.19999999999993</v>
      </c>
      <c r="AE18" s="25">
        <f t="shared" ref="AE18:AN18" si="9">AE11-AE12-AE13-AE14-AE15+AE16+AE17</f>
        <v>543.29999999999995</v>
      </c>
      <c r="AF18" s="25">
        <f t="shared" si="9"/>
        <v>331.50000000000011</v>
      </c>
      <c r="AG18" s="25">
        <f t="shared" si="9"/>
        <v>206.00000000000017</v>
      </c>
      <c r="AH18" s="25">
        <f t="shared" si="9"/>
        <v>329.30000000000047</v>
      </c>
      <c r="AI18" s="25">
        <f t="shared" si="9"/>
        <v>35.29999999999999</v>
      </c>
      <c r="AJ18" s="25">
        <f t="shared" si="9"/>
        <v>-77.000000000000014</v>
      </c>
      <c r="AK18" s="25">
        <f t="shared" si="9"/>
        <v>-323.40000000000003</v>
      </c>
      <c r="AL18" s="25">
        <f t="shared" si="9"/>
        <v>201.29999999999987</v>
      </c>
      <c r="AM18" s="25">
        <f t="shared" si="9"/>
        <v>-110.50000000000011</v>
      </c>
      <c r="AN18" s="25">
        <f t="shared" si="9"/>
        <v>314.50000000000034</v>
      </c>
    </row>
    <row r="19" spans="2:41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1">
        <f>35.7-112.6</f>
        <v>-76.899999999999991</v>
      </c>
      <c r="Y19" s="3">
        <f>37.5-58.1</f>
        <v>-20.6</v>
      </c>
      <c r="Z19" s="11">
        <f>28.7-71.6</f>
        <v>-42.899999999999991</v>
      </c>
      <c r="AA19" s="3">
        <f>106.7-82.3</f>
        <v>24.400000000000006</v>
      </c>
      <c r="AB19" s="3">
        <f>77.9-78.7</f>
        <v>-0.79999999999999716</v>
      </c>
      <c r="AC19" s="3">
        <f>99-123.8</f>
        <v>-24.799999999999997</v>
      </c>
      <c r="AE19" s="11">
        <v>-24.5</v>
      </c>
      <c r="AF19" s="11">
        <v>-22.9</v>
      </c>
      <c r="AG19" s="11">
        <v>-51.4</v>
      </c>
      <c r="AH19" s="11">
        <v>-47.6</v>
      </c>
      <c r="AI19" s="11">
        <v>-171.5</v>
      </c>
      <c r="AJ19" s="11">
        <v>-116.1</v>
      </c>
      <c r="AK19" s="11">
        <v>-232.7</v>
      </c>
      <c r="AL19" s="11">
        <v>-199.4</v>
      </c>
      <c r="AM19" s="3">
        <v>-123.5</v>
      </c>
      <c r="AN19" s="3">
        <f>+SUM(W19:Z19)</f>
        <v>-193.29999999999995</v>
      </c>
    </row>
    <row r="20" spans="2:41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X20" s="11">
        <v>2.9</v>
      </c>
      <c r="Y20" s="3">
        <v>-6.6</v>
      </c>
      <c r="Z20" s="11">
        <v>1.4</v>
      </c>
      <c r="AA20" s="3">
        <v>12.5</v>
      </c>
      <c r="AB20" s="3">
        <v>-15.7</v>
      </c>
      <c r="AC20" s="3">
        <v>-16.399999999999999</v>
      </c>
      <c r="AE20" s="11">
        <v>-14.9</v>
      </c>
      <c r="AF20" s="11">
        <v>27.6</v>
      </c>
      <c r="AG20" s="11">
        <v>4.5</v>
      </c>
      <c r="AH20" s="11">
        <v>6.6</v>
      </c>
      <c r="AI20" s="11">
        <v>0</v>
      </c>
      <c r="AJ20" s="11">
        <v>6.9</v>
      </c>
      <c r="AK20" s="11">
        <v>-79.099999999999994</v>
      </c>
      <c r="AL20" s="11">
        <v>25.5</v>
      </c>
      <c r="AM20" s="3">
        <v>28.2</v>
      </c>
      <c r="AN20" s="3">
        <f>+SUM(W20:Z20)</f>
        <v>-0.49999999999999956</v>
      </c>
    </row>
    <row r="21" spans="2:41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10">F18+F19+F20</f>
        <v>-14.900000000000141</v>
      </c>
      <c r="G21" s="11">
        <f t="shared" si="10"/>
        <v>-47.200000000000017</v>
      </c>
      <c r="H21" s="11">
        <f t="shared" si="10"/>
        <v>-6.3999999999998565</v>
      </c>
      <c r="I21" s="11">
        <f t="shared" si="10"/>
        <v>-35.900000000000141</v>
      </c>
      <c r="J21" s="11">
        <f t="shared" si="10"/>
        <v>-96.700000000000117</v>
      </c>
      <c r="K21" s="11">
        <f t="shared" si="10"/>
        <v>-107.70000000000006</v>
      </c>
      <c r="L21" s="11">
        <f t="shared" si="10"/>
        <v>-390.19999999999987</v>
      </c>
      <c r="M21" s="11">
        <f t="shared" si="10"/>
        <v>-148.59999999999994</v>
      </c>
      <c r="N21" s="11">
        <f t="shared" ref="N21:AC21" si="11">N18+N19+N20</f>
        <v>11.400000000000112</v>
      </c>
      <c r="O21" s="11">
        <f t="shared" si="11"/>
        <v>-88.900000000000034</v>
      </c>
      <c r="P21" s="11">
        <f t="shared" si="11"/>
        <v>83.600000000000037</v>
      </c>
      <c r="Q21" s="11">
        <f t="shared" si="11"/>
        <v>-24.99999999999995</v>
      </c>
      <c r="R21" s="11">
        <f t="shared" si="11"/>
        <v>57.699999999999946</v>
      </c>
      <c r="S21" s="11">
        <f t="shared" si="11"/>
        <v>-81</v>
      </c>
      <c r="T21" s="11">
        <f t="shared" si="11"/>
        <v>49.499999999999957</v>
      </c>
      <c r="U21" s="11">
        <f t="shared" si="11"/>
        <v>-46.100000000000016</v>
      </c>
      <c r="V21" s="11">
        <f t="shared" si="11"/>
        <v>99.399999999999963</v>
      </c>
      <c r="W21" s="11">
        <f t="shared" si="11"/>
        <v>-103.20000000000006</v>
      </c>
      <c r="X21" s="11">
        <f t="shared" si="11"/>
        <v>-0.80000000000004556</v>
      </c>
      <c r="Y21" s="11">
        <f t="shared" si="11"/>
        <v>57.200000000000131</v>
      </c>
      <c r="Z21" s="11">
        <f t="shared" si="11"/>
        <v>167.49999999999997</v>
      </c>
      <c r="AA21" s="11">
        <f t="shared" si="11"/>
        <v>33.00000000000005</v>
      </c>
      <c r="AB21" s="11">
        <f t="shared" si="11"/>
        <v>111.40000000000022</v>
      </c>
      <c r="AC21" s="11">
        <f t="shared" si="11"/>
        <v>243.99999999999991</v>
      </c>
      <c r="AE21" s="11">
        <f t="shared" ref="AE21:AN21" si="12">AE18+AE19+AE20</f>
        <v>503.9</v>
      </c>
      <c r="AF21" s="11">
        <f t="shared" si="12"/>
        <v>336.20000000000016</v>
      </c>
      <c r="AG21" s="11">
        <f t="shared" si="12"/>
        <v>159.10000000000016</v>
      </c>
      <c r="AH21" s="11">
        <f t="shared" si="12"/>
        <v>288.30000000000047</v>
      </c>
      <c r="AI21" s="11">
        <f t="shared" si="12"/>
        <v>-136.20000000000002</v>
      </c>
      <c r="AJ21" s="11">
        <f t="shared" si="12"/>
        <v>-186.20000000000002</v>
      </c>
      <c r="AK21" s="11">
        <f t="shared" si="12"/>
        <v>-635.20000000000005</v>
      </c>
      <c r="AL21" s="11">
        <f t="shared" si="12"/>
        <v>27.399999999999864</v>
      </c>
      <c r="AM21" s="11">
        <f t="shared" si="12"/>
        <v>-205.80000000000013</v>
      </c>
      <c r="AN21" s="11">
        <f t="shared" si="12"/>
        <v>120.70000000000039</v>
      </c>
    </row>
    <row r="22" spans="2:41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X22" s="11">
        <v>25.3</v>
      </c>
      <c r="Y22" s="3">
        <v>-7.1</v>
      </c>
      <c r="Z22" s="11">
        <v>31.3</v>
      </c>
      <c r="AA22" s="3">
        <v>0.6</v>
      </c>
      <c r="AB22" s="3">
        <v>8.9</v>
      </c>
      <c r="AC22" s="3">
        <v>62.3</v>
      </c>
      <c r="AE22" s="11">
        <v>156.19999999999999</v>
      </c>
      <c r="AF22" s="11">
        <v>255.4</v>
      </c>
      <c r="AG22" s="11">
        <v>-8.6999999999999993</v>
      </c>
      <c r="AH22" s="11">
        <v>25.5</v>
      </c>
      <c r="AI22" s="11">
        <v>35</v>
      </c>
      <c r="AJ22" s="11">
        <v>130.30000000000001</v>
      </c>
      <c r="AK22" s="11">
        <v>93.1</v>
      </c>
      <c r="AL22" s="11">
        <v>70.900000000000006</v>
      </c>
      <c r="AM22" s="3">
        <v>-2.2999999999999998</v>
      </c>
      <c r="AN22" s="3">
        <v>-43.6</v>
      </c>
    </row>
    <row r="23" spans="2:41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3">F21-F22</f>
        <v>3.7999999999998586</v>
      </c>
      <c r="G23" s="25">
        <f t="shared" si="13"/>
        <v>-41.200000000000017</v>
      </c>
      <c r="H23" s="25">
        <f t="shared" si="13"/>
        <v>9.2000000000001432</v>
      </c>
      <c r="I23" s="25">
        <f t="shared" si="13"/>
        <v>-75.300000000000139</v>
      </c>
      <c r="J23" s="25">
        <f t="shared" si="13"/>
        <v>-209.2000000000001</v>
      </c>
      <c r="K23" s="25">
        <f t="shared" si="13"/>
        <v>-290.60000000000008</v>
      </c>
      <c r="L23" s="25">
        <f t="shared" si="13"/>
        <v>-312.59999999999991</v>
      </c>
      <c r="M23" s="25">
        <f t="shared" si="13"/>
        <v>-119.49999999999994</v>
      </c>
      <c r="N23" s="25">
        <f t="shared" ref="N23:AC23" si="14">N21-N22</f>
        <v>-5.4999999999998863</v>
      </c>
      <c r="O23" s="25">
        <f t="shared" si="14"/>
        <v>-90.000000000000028</v>
      </c>
      <c r="P23" s="25">
        <f t="shared" si="14"/>
        <v>89.200000000000031</v>
      </c>
      <c r="Q23" s="25">
        <f t="shared" si="14"/>
        <v>-45.699999999999946</v>
      </c>
      <c r="R23" s="25">
        <f t="shared" si="14"/>
        <v>2.9999999999999432</v>
      </c>
      <c r="S23" s="25">
        <f t="shared" si="14"/>
        <v>-30.700000000000003</v>
      </c>
      <c r="T23" s="25">
        <f t="shared" si="14"/>
        <v>74.099999999999966</v>
      </c>
      <c r="U23" s="25">
        <f t="shared" si="14"/>
        <v>-41.400000000000013</v>
      </c>
      <c r="V23" s="25">
        <f t="shared" si="14"/>
        <v>23.099999999999966</v>
      </c>
      <c r="W23" s="25">
        <f t="shared" si="14"/>
        <v>-72.70000000000006</v>
      </c>
      <c r="X23" s="25">
        <f t="shared" si="14"/>
        <v>-26.100000000000048</v>
      </c>
      <c r="Y23" s="25">
        <f t="shared" si="14"/>
        <v>64.300000000000125</v>
      </c>
      <c r="Z23" s="25">
        <f t="shared" si="14"/>
        <v>136.19999999999996</v>
      </c>
      <c r="AA23" s="25">
        <f t="shared" si="14"/>
        <v>32.400000000000048</v>
      </c>
      <c r="AB23" s="25">
        <f t="shared" si="14"/>
        <v>102.50000000000021</v>
      </c>
      <c r="AC23" s="25">
        <f t="shared" si="14"/>
        <v>181.69999999999993</v>
      </c>
      <c r="AE23" s="25">
        <f t="shared" ref="AE23:AJ23" si="15">AE21-AE22</f>
        <v>347.7</v>
      </c>
      <c r="AF23" s="25">
        <f t="shared" si="15"/>
        <v>80.800000000000153</v>
      </c>
      <c r="AG23" s="25">
        <f t="shared" si="15"/>
        <v>167.80000000000015</v>
      </c>
      <c r="AH23" s="25">
        <f t="shared" si="15"/>
        <v>262.80000000000047</v>
      </c>
      <c r="AI23" s="25">
        <f t="shared" si="15"/>
        <v>-171.20000000000002</v>
      </c>
      <c r="AJ23" s="25">
        <f t="shared" si="15"/>
        <v>-316.5</v>
      </c>
      <c r="AK23" s="25">
        <f>AK21-AK22</f>
        <v>-728.30000000000007</v>
      </c>
      <c r="AL23" s="25">
        <f>AL21-AL22</f>
        <v>-43.500000000000142</v>
      </c>
      <c r="AM23" s="25">
        <f>AM21-AM22</f>
        <v>-203.50000000000011</v>
      </c>
      <c r="AN23" s="25">
        <f>AN21-AN22</f>
        <v>164.30000000000038</v>
      </c>
    </row>
    <row r="24" spans="2:41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X24" s="2">
        <v>-18.8</v>
      </c>
      <c r="Y24" s="2">
        <v>61</v>
      </c>
      <c r="Z24" s="25">
        <v>192.6</v>
      </c>
      <c r="AA24" s="2">
        <v>28.7</v>
      </c>
      <c r="AB24" s="2">
        <v>99.4</v>
      </c>
      <c r="AC24" s="2">
        <v>178.8</v>
      </c>
      <c r="AE24" s="25">
        <v>334.7</v>
      </c>
      <c r="AF24" s="25">
        <v>69.2</v>
      </c>
      <c r="AG24" s="25">
        <v>166.1</v>
      </c>
      <c r="AH24" s="25">
        <v>246.8</v>
      </c>
      <c r="AI24" s="2">
        <v>-178.2</v>
      </c>
      <c r="AJ24" s="2">
        <v>-322.3</v>
      </c>
      <c r="AK24" s="25">
        <v>-731.9</v>
      </c>
      <c r="AL24" s="25">
        <v>-44.7</v>
      </c>
      <c r="AM24" s="2">
        <v>-185.4</v>
      </c>
      <c r="AN24" s="2">
        <v>164</v>
      </c>
    </row>
    <row r="25" spans="2:41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Z25" s="11">
        <v>6.2</v>
      </c>
      <c r="AA25" s="3">
        <v>3.7</v>
      </c>
      <c r="AB25" s="3">
        <v>3.1</v>
      </c>
      <c r="AC25" s="3">
        <v>2.9</v>
      </c>
      <c r="AE25" s="11">
        <v>13</v>
      </c>
      <c r="AF25" s="3">
        <v>11.6</v>
      </c>
      <c r="AG25" s="11">
        <v>1.7</v>
      </c>
      <c r="AH25" s="11">
        <v>16</v>
      </c>
      <c r="AI25" s="11">
        <v>7</v>
      </c>
      <c r="AJ25" s="3">
        <v>5.8</v>
      </c>
      <c r="AK25" s="11">
        <v>3.6</v>
      </c>
      <c r="AL25" s="11">
        <v>1.2</v>
      </c>
      <c r="AM25" s="3">
        <v>-18.100000000000001</v>
      </c>
      <c r="AN25" s="3">
        <v>0.3</v>
      </c>
    </row>
    <row r="26" spans="2:41" s="97" customFormat="1">
      <c r="B26" s="97" t="s">
        <v>65</v>
      </c>
      <c r="C26" s="97">
        <f>C24/C27</f>
        <v>-5.0456838947224879E-2</v>
      </c>
      <c r="D26" s="97">
        <f>D24/D27</f>
        <v>-0.17246080436264485</v>
      </c>
      <c r="E26" s="97">
        <f>E24/E27</f>
        <v>-1.7034614336331428E-2</v>
      </c>
      <c r="F26" s="97">
        <f t="shared" ref="F26:M26" si="16">F24/F27</f>
        <v>3.5417518049312082E-3</v>
      </c>
      <c r="G26" s="97">
        <f t="shared" si="16"/>
        <v>-5.7768112002174798E-2</v>
      </c>
      <c r="H26" s="97">
        <f t="shared" si="16"/>
        <v>9.7852677357977719E-3</v>
      </c>
      <c r="I26" s="97">
        <f t="shared" si="16"/>
        <v>-0.104919815167165</v>
      </c>
      <c r="J26" s="97">
        <f t="shared" si="16"/>
        <v>-0.28509308329936134</v>
      </c>
      <c r="K26" s="97">
        <f t="shared" si="16"/>
        <v>-0.39668523298464881</v>
      </c>
      <c r="L26" s="97">
        <f t="shared" si="16"/>
        <v>-0.42828035859820701</v>
      </c>
      <c r="M26" s="97">
        <f t="shared" si="16"/>
        <v>-0.16462917685411571</v>
      </c>
      <c r="N26" s="97">
        <f t="shared" ref="N26:AC26" si="17">N24/N27</f>
        <v>-4.4824775876120618E-3</v>
      </c>
      <c r="O26" s="97">
        <f t="shared" si="17"/>
        <v>-0.12204081632653062</v>
      </c>
      <c r="P26" s="97">
        <f t="shared" si="17"/>
        <v>0.11962438758845946</v>
      </c>
      <c r="Q26" s="97">
        <f t="shared" si="17"/>
        <v>-6.1241154055525319E-2</v>
      </c>
      <c r="R26" s="97">
        <f t="shared" si="17"/>
        <v>2.8583095140873828E-3</v>
      </c>
      <c r="S26" s="97">
        <f t="shared" si="17"/>
        <v>-4.3152736182956709E-2</v>
      </c>
      <c r="T26" s="97">
        <f t="shared" si="17"/>
        <v>0.10100735093928669</v>
      </c>
      <c r="U26" s="97">
        <f t="shared" si="17"/>
        <v>-4.111080860332153E-2</v>
      </c>
      <c r="V26" s="97">
        <f t="shared" si="17"/>
        <v>3.1169184701238598E-2</v>
      </c>
      <c r="W26" s="97">
        <f t="shared" si="17"/>
        <v>-9.6378981758780277E-2</v>
      </c>
      <c r="X26" s="97">
        <f t="shared" si="17"/>
        <v>-2.5592158998094201E-2</v>
      </c>
      <c r="Y26" s="97">
        <f t="shared" si="17"/>
        <v>8.3038388238497143E-2</v>
      </c>
      <c r="Z26" s="97">
        <f t="shared" si="17"/>
        <v>0.26218350122515655</v>
      </c>
      <c r="AA26" s="97">
        <f t="shared" si="17"/>
        <v>3.9068881023686358E-2</v>
      </c>
      <c r="AB26" s="97">
        <f t="shared" si="17"/>
        <v>0.13531173427715765</v>
      </c>
      <c r="AC26" s="97">
        <f t="shared" si="17"/>
        <v>0.24339776749251293</v>
      </c>
      <c r="AE26" s="97">
        <f t="shared" ref="AE26:AN26" si="18">AE24/AE27</f>
        <v>0.45618100040888643</v>
      </c>
      <c r="AF26" s="97">
        <f t="shared" si="18"/>
        <v>9.4768556559846617E-2</v>
      </c>
      <c r="AG26" s="97">
        <f t="shared" si="18"/>
        <v>0.22580206634040237</v>
      </c>
      <c r="AH26" s="97">
        <f t="shared" si="18"/>
        <v>0.33610241045894051</v>
      </c>
      <c r="AI26" s="97">
        <f t="shared" si="18"/>
        <v>-0.24274621986105432</v>
      </c>
      <c r="AJ26" s="97">
        <f t="shared" si="18"/>
        <v>-0.43796711509715996</v>
      </c>
      <c r="AK26" s="97">
        <f t="shared" si="18"/>
        <v>-0.99415919587068724</v>
      </c>
      <c r="AL26" s="97">
        <f t="shared" si="18"/>
        <v>-6.0841159657002861E-2</v>
      </c>
      <c r="AM26" s="97">
        <f t="shared" si="18"/>
        <v>-0.25238224884290772</v>
      </c>
      <c r="AN26" s="97">
        <f t="shared" si="18"/>
        <v>0.22325074870677919</v>
      </c>
    </row>
    <row r="27" spans="2:41" s="107" customFormat="1">
      <c r="B27" s="107" t="s">
        <v>4</v>
      </c>
      <c r="C27" s="107">
        <v>733.3</v>
      </c>
      <c r="D27" s="107">
        <v>733.5</v>
      </c>
      <c r="E27" s="107">
        <v>733.8</v>
      </c>
      <c r="F27" s="107">
        <v>734.1</v>
      </c>
      <c r="G27" s="107">
        <v>735.7</v>
      </c>
      <c r="H27" s="107">
        <v>735.8</v>
      </c>
      <c r="I27" s="107">
        <v>735.8</v>
      </c>
      <c r="J27" s="107">
        <v>735.9</v>
      </c>
      <c r="K27" s="107">
        <v>736.1</v>
      </c>
      <c r="L27" s="107">
        <v>736.2</v>
      </c>
      <c r="M27" s="107">
        <v>736.2</v>
      </c>
      <c r="N27" s="107">
        <v>736.2</v>
      </c>
      <c r="O27" s="108">
        <v>735</v>
      </c>
      <c r="P27" s="108">
        <v>734.8</v>
      </c>
      <c r="Q27" s="107">
        <v>734.8</v>
      </c>
      <c r="R27" s="107">
        <v>734.7</v>
      </c>
      <c r="S27" s="107">
        <v>734.6</v>
      </c>
      <c r="T27" s="107">
        <v>734.6</v>
      </c>
      <c r="U27" s="107">
        <v>734.6</v>
      </c>
      <c r="V27" s="107">
        <v>734.7</v>
      </c>
      <c r="W27" s="107">
        <v>734.6</v>
      </c>
      <c r="X27" s="107">
        <v>734.6</v>
      </c>
      <c r="Y27" s="107">
        <v>734.6</v>
      </c>
      <c r="Z27" s="107">
        <v>734.6</v>
      </c>
      <c r="AA27" s="107">
        <v>734.6</v>
      </c>
      <c r="AB27" s="107">
        <v>734.6</v>
      </c>
      <c r="AC27" s="107">
        <v>734.6</v>
      </c>
      <c r="AE27" s="107">
        <v>733.7</v>
      </c>
      <c r="AF27" s="107">
        <v>730.2</v>
      </c>
      <c r="AG27" s="107">
        <v>735.6</v>
      </c>
      <c r="AH27" s="107">
        <v>734.3</v>
      </c>
      <c r="AI27" s="107">
        <v>734.1</v>
      </c>
      <c r="AJ27" s="107">
        <v>735.9</v>
      </c>
      <c r="AK27" s="107">
        <v>736.2</v>
      </c>
      <c r="AL27" s="107">
        <v>734.7</v>
      </c>
      <c r="AM27" s="107">
        <v>734.6</v>
      </c>
      <c r="AN27" s="107">
        <f>+Z27</f>
        <v>734.6</v>
      </c>
    </row>
    <row r="30" spans="2:41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9">G9/C9-1</f>
        <v>-0.14266375091117356</v>
      </c>
      <c r="H30" s="31">
        <f t="shared" si="19"/>
        <v>9.7254277755670637E-2</v>
      </c>
      <c r="I30" s="31">
        <f>I9/E9-1</f>
        <v>1.4060208746657477E-2</v>
      </c>
      <c r="J30" s="31">
        <f t="shared" ref="J30" si="20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21">N9/J9-1</f>
        <v>-0.11683453237410069</v>
      </c>
      <c r="O30" s="31">
        <f t="shared" si="21"/>
        <v>0.27374566109182719</v>
      </c>
      <c r="P30" s="31">
        <f t="shared" si="21"/>
        <v>1.1044303797468351</v>
      </c>
      <c r="Q30" s="31">
        <f t="shared" si="21"/>
        <v>0.26281797812046914</v>
      </c>
      <c r="R30" s="31">
        <f t="shared" si="21"/>
        <v>-0.29330943847072888</v>
      </c>
      <c r="S30" s="31">
        <f t="shared" si="21"/>
        <v>-0.25566703827573389</v>
      </c>
      <c r="T30" s="31">
        <f t="shared" si="21"/>
        <v>-9.8717381689517936E-2</v>
      </c>
      <c r="U30" s="31">
        <f t="shared" ref="U30" si="22">U9/Q9-1</f>
        <v>-3.0372612462164716E-2</v>
      </c>
      <c r="V30" s="31">
        <f t="shared" ref="V30" si="23">V9/R9-1</f>
        <v>0.53046953046953038</v>
      </c>
      <c r="W30" s="31">
        <f t="shared" ref="W30:X30" si="24">W9/S9-1</f>
        <v>0.19271093359960045</v>
      </c>
      <c r="X30" s="31">
        <f t="shared" si="24"/>
        <v>0.26832858965551076</v>
      </c>
      <c r="Y30" s="31">
        <f t="shared" ref="Y30" si="25">Y9/U9-1</f>
        <v>0.38256189451022604</v>
      </c>
      <c r="Z30" s="31">
        <f t="shared" ref="Z30" si="26">Z9/V9-1</f>
        <v>-8.2847961438039519E-3</v>
      </c>
      <c r="AA30" s="31">
        <f t="shared" ref="AA30" si="27">AA9/W9-1</f>
        <v>0.25101158085670439</v>
      </c>
      <c r="AB30" s="31">
        <f t="shared" ref="AB30" si="28">AB9/X9-1</f>
        <v>0.15623307281590981</v>
      </c>
      <c r="AC30" s="31">
        <f t="shared" ref="AC30" si="29">AC9/Y9-1</f>
        <v>0.31765805045157247</v>
      </c>
      <c r="AE30" s="59" t="s">
        <v>186</v>
      </c>
      <c r="AF30" s="31">
        <f t="shared" ref="AF30" si="30">AF9/AE9-1</f>
        <v>-5.7355934359496263E-2</v>
      </c>
      <c r="AG30" s="31">
        <f t="shared" ref="AG30" si="31">AG9/AF9-1</f>
        <v>4.881833977159622E-2</v>
      </c>
      <c r="AH30" s="31">
        <f t="shared" ref="AH30" si="32">AH9/AG9-1</f>
        <v>-6.0828307197426601E-2</v>
      </c>
      <c r="AI30" s="31">
        <f t="shared" ref="AI30" si="33">AI9/AH9-1</f>
        <v>-0.13155686469268568</v>
      </c>
      <c r="AJ30" s="31">
        <f t="shared" ref="AJ30:AK30" si="34">AJ9/AI9-1</f>
        <v>7.7202184930291295E-2</v>
      </c>
      <c r="AK30" s="31">
        <f t="shared" si="34"/>
        <v>-0.30965108190239088</v>
      </c>
      <c r="AL30" s="31">
        <f>AL9/AK9-1</f>
        <v>0.11299090451062033</v>
      </c>
      <c r="AM30" s="31">
        <f t="shared" ref="AM30:AO30" si="35">AM9/AL9-1</f>
        <v>8.1768798246449892E-2</v>
      </c>
      <c r="AN30" s="31">
        <f t="shared" si="35"/>
        <v>0.16036032067659245</v>
      </c>
      <c r="AO30" s="110">
        <f t="shared" si="35"/>
        <v>0.19199999999999995</v>
      </c>
    </row>
    <row r="31" spans="2:41" s="24" customFormat="1">
      <c r="B31" s="24" t="s">
        <v>67</v>
      </c>
      <c r="C31" s="59" t="s">
        <v>186</v>
      </c>
      <c r="D31" s="24">
        <f t="shared" ref="D31" si="36">D9/C9-1</f>
        <v>0.30844527751744244</v>
      </c>
      <c r="E31" s="24">
        <f t="shared" ref="E31" si="37">E9/D9-1</f>
        <v>-7.7357739753282972E-2</v>
      </c>
      <c r="F31" s="24">
        <f t="shared" ref="F31" si="38">F9/E9-1</f>
        <v>0.46433192443716043</v>
      </c>
      <c r="G31" s="24">
        <f t="shared" ref="G31" si="39">G9/F9-1</f>
        <v>-0.51502120640904803</v>
      </c>
      <c r="H31" s="24">
        <f t="shared" ref="H31" si="40">H9/G9-1</f>
        <v>0.67460221061581449</v>
      </c>
      <c r="I31" s="24">
        <f t="shared" ref="I31" si="41">I9/H9-1</f>
        <v>-0.14731268586349466</v>
      </c>
      <c r="J31" s="24">
        <f t="shared" ref="J31" si="42">J9/I9-1</f>
        <v>0.77356243620279019</v>
      </c>
      <c r="K31" s="24">
        <f t="shared" ref="K31" si="43">K9/J9-1</f>
        <v>-0.69601918465227819</v>
      </c>
      <c r="L31" s="24">
        <f t="shared" ref="L31" si="44">L9/K9-1</f>
        <v>-0.15241401072893646</v>
      </c>
      <c r="M31" s="24">
        <f t="shared" ref="M31" si="45">M9/L9-1</f>
        <v>0.41232315711094558</v>
      </c>
      <c r="N31" s="24">
        <f t="shared" ref="N31:O31" si="46">N9/M9-1</f>
        <v>1.4270462633451957</v>
      </c>
      <c r="O31" s="24">
        <f t="shared" si="46"/>
        <v>-0.56158357771261003</v>
      </c>
      <c r="P31" s="24">
        <f>P9/O9-1</f>
        <v>0.40034683512944391</v>
      </c>
      <c r="Q31" s="24">
        <f t="shared" ref="Q31:R31" si="47">Q9/P9-1</f>
        <v>-0.15249889429455987</v>
      </c>
      <c r="R31" s="24">
        <f t="shared" si="47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8">U9/T9-1</f>
        <v>-8.8232407498282428E-2</v>
      </c>
      <c r="V31" s="24">
        <f t="shared" ref="V31" si="49">V9/U9-1</f>
        <v>1.1438105489773949</v>
      </c>
      <c r="W31" s="24">
        <f t="shared" ref="W31" si="50">W9/V9-1</f>
        <v>-0.64013858204458729</v>
      </c>
      <c r="X31" s="24">
        <f t="shared" ref="X31" si="51">X9/W9-1</f>
        <v>0.80312543602623143</v>
      </c>
      <c r="Y31" s="24">
        <f t="shared" ref="Y31" si="52">Y9/X9-1</f>
        <v>-6.113131625783419E-3</v>
      </c>
      <c r="Z31" s="24">
        <f t="shared" ref="Z31" si="53">Z9/Y9-1</f>
        <v>0.53776082217377752</v>
      </c>
      <c r="AA31" s="24">
        <f t="shared" ref="AA31" si="54">AA9/Z9-1</f>
        <v>-0.54604830135183025</v>
      </c>
      <c r="AB31" s="24">
        <f t="shared" ref="AB31" si="55">AB9/AA9-1</f>
        <v>0.66651795672540737</v>
      </c>
      <c r="AC31" s="24">
        <f t="shared" ref="AC31" si="56">AC9/AB9-1</f>
        <v>0.13264623209744308</v>
      </c>
      <c r="AE31" s="59" t="s">
        <v>186</v>
      </c>
      <c r="AF31" s="59" t="s">
        <v>186</v>
      </c>
      <c r="AG31" s="59" t="s">
        <v>186</v>
      </c>
      <c r="AH31" s="59" t="s">
        <v>186</v>
      </c>
      <c r="AI31" s="59" t="s">
        <v>186</v>
      </c>
      <c r="AJ31" s="59" t="s">
        <v>186</v>
      </c>
      <c r="AK31" s="59" t="s">
        <v>186</v>
      </c>
      <c r="AL31" s="59" t="s">
        <v>186</v>
      </c>
      <c r="AM31" s="59" t="s">
        <v>186</v>
      </c>
      <c r="AN31" s="59" t="s">
        <v>186</v>
      </c>
    </row>
    <row r="32" spans="2:41" s="60" customFormat="1">
      <c r="B32" s="64" t="s">
        <v>57</v>
      </c>
      <c r="C32" s="59" t="s">
        <v>186</v>
      </c>
      <c r="D32" s="60">
        <f t="shared" ref="D32" si="57">D15/C15-1</f>
        <v>3.0612244897959107E-2</v>
      </c>
      <c r="E32" s="60">
        <f t="shared" ref="E32" si="58">E15/D15-1</f>
        <v>-0.13861386138613863</v>
      </c>
      <c r="F32" s="60">
        <f t="shared" ref="F32:S32" si="59">F15/E15-1</f>
        <v>1.0114942528735633</v>
      </c>
      <c r="G32" s="60">
        <f t="shared" si="59"/>
        <v>-0.46857142857142853</v>
      </c>
      <c r="H32" s="60">
        <f t="shared" si="59"/>
        <v>0.26881720430107525</v>
      </c>
      <c r="I32" s="60">
        <f t="shared" si="59"/>
        <v>-1.6949152542372947E-2</v>
      </c>
      <c r="J32" s="60">
        <f t="shared" si="59"/>
        <v>0.44827586206896552</v>
      </c>
      <c r="K32" s="60">
        <f t="shared" si="59"/>
        <v>-0.65476190476190477</v>
      </c>
      <c r="L32" s="60">
        <f t="shared" si="59"/>
        <v>0.10344827586206895</v>
      </c>
      <c r="M32" s="60">
        <f t="shared" si="59"/>
        <v>0.10937499999999978</v>
      </c>
      <c r="N32" s="60">
        <f t="shared" si="59"/>
        <v>0.47887323943661975</v>
      </c>
      <c r="O32" s="60">
        <f t="shared" si="59"/>
        <v>-0.19999999999999996</v>
      </c>
      <c r="P32" s="60">
        <f t="shared" si="59"/>
        <v>0.10714285714285721</v>
      </c>
      <c r="Q32" s="60">
        <f t="shared" si="59"/>
        <v>0.10752688172043001</v>
      </c>
      <c r="R32" s="60">
        <f t="shared" si="59"/>
        <v>0.45631067961165028</v>
      </c>
      <c r="S32" s="60">
        <f t="shared" si="59"/>
        <v>0.15999999999999992</v>
      </c>
      <c r="T32" s="60">
        <f>T15/S15-1</f>
        <v>0.43103448275862077</v>
      </c>
      <c r="U32" s="60">
        <f t="shared" ref="U32" si="60">U15/T15-1</f>
        <v>0.16465863453815266</v>
      </c>
      <c r="V32" s="60">
        <f t="shared" ref="V32" si="61">V15/U15-1</f>
        <v>0.33448275862068977</v>
      </c>
      <c r="W32" s="60">
        <f t="shared" ref="W32:X32" si="62">W15/V15-1</f>
        <v>-0.17829457364341095</v>
      </c>
      <c r="X32" s="60">
        <f t="shared" si="62"/>
        <v>-0.2515723270440251</v>
      </c>
      <c r="Y32" s="60">
        <f t="shared" ref="Y32" si="63">Y15/X15-1</f>
        <v>-0.2857142857142857</v>
      </c>
      <c r="Z32" s="60">
        <f t="shared" ref="Z32" si="64">Z15/Y15-1</f>
        <v>4.1176470588235148E-2</v>
      </c>
      <c r="AA32" s="60">
        <f t="shared" ref="AA32" si="65">AA15/Z15-1</f>
        <v>-0.31638418079096042</v>
      </c>
      <c r="AB32" s="60">
        <f t="shared" ref="AB32" si="66">AB15/AA15-1</f>
        <v>0.26446280991735538</v>
      </c>
      <c r="AC32" s="60">
        <f t="shared" ref="AC32" si="67">AC15/AB15-1</f>
        <v>-0.37254901960784315</v>
      </c>
      <c r="AE32" s="59" t="s">
        <v>186</v>
      </c>
      <c r="AF32" s="65">
        <f t="shared" ref="AF32" si="68">AF15/AE15-1</f>
        <v>-0.11464968152866239</v>
      </c>
      <c r="AG32" s="65">
        <f t="shared" ref="AG32" si="69">AG15/AF15-1</f>
        <v>0.14148681055155876</v>
      </c>
      <c r="AH32" s="65">
        <f t="shared" ref="AH32" si="70">AH15/AG15-1</f>
        <v>3.3613445378151363E-2</v>
      </c>
      <c r="AI32" s="65">
        <f t="shared" ref="AI32" si="71">AI15/AH15-1</f>
        <v>-6.3008130081300795E-2</v>
      </c>
      <c r="AJ32" s="65">
        <f t="shared" ref="AJ32:AK32" si="72">AJ15/AI15-1</f>
        <v>7.1583514099782919E-2</v>
      </c>
      <c r="AK32" s="65">
        <f t="shared" si="72"/>
        <v>-0.39676113360323884</v>
      </c>
      <c r="AL32" s="65">
        <f>AL15/AK15-1</f>
        <v>0.44295302013422821</v>
      </c>
      <c r="AM32" s="65">
        <f t="shared" ref="AM32" si="73">AM15/AL15-1</f>
        <v>1.558139534883721</v>
      </c>
      <c r="AN32" s="65">
        <f t="shared" ref="AN32" si="74">AN15/AM15-1</f>
        <v>-0.17909090909090908</v>
      </c>
    </row>
    <row r="33" spans="2:40" s="24" customFormat="1">
      <c r="B33" s="63"/>
      <c r="C33" s="59"/>
      <c r="AI33" s="59"/>
      <c r="AJ33" s="59"/>
      <c r="AK33" s="59"/>
      <c r="AL33" s="59"/>
    </row>
    <row r="34" spans="2:40">
      <c r="B34" s="63"/>
    </row>
    <row r="36" spans="2:40">
      <c r="B36" s="3" t="s">
        <v>68</v>
      </c>
      <c r="C36" s="24">
        <f t="shared" ref="C36:D36" si="75">C11/C9</f>
        <v>0.15630532125377478</v>
      </c>
      <c r="D36" s="24">
        <f t="shared" si="75"/>
        <v>0.11165937126939909</v>
      </c>
      <c r="E36" s="24">
        <f t="shared" ref="E36:G36" si="76">E11/E9</f>
        <v>0.18873458121280079</v>
      </c>
      <c r="F36" s="24">
        <f t="shared" ref="F36" si="77">F11/F9</f>
        <v>0.15398209236569266</v>
      </c>
      <c r="G36" s="24">
        <f t="shared" si="76"/>
        <v>0.19907688570387463</v>
      </c>
      <c r="H36" s="24">
        <f>H11/H9</f>
        <v>0.14404874156814398</v>
      </c>
      <c r="I36" s="24">
        <f t="shared" ref="I36:J36" si="78">I11/I9</f>
        <v>0.13133718952024487</v>
      </c>
      <c r="J36" s="24">
        <f t="shared" si="78"/>
        <v>0.13362110311750594</v>
      </c>
      <c r="K36" s="24">
        <f t="shared" ref="K36" si="79">K11/K9</f>
        <v>0.29031240138845055</v>
      </c>
      <c r="L36" s="24">
        <f t="shared" ref="L36" si="80">L11/L9</f>
        <v>3.0528667163067926E-2</v>
      </c>
      <c r="M36" s="24">
        <f>M11/M9</f>
        <v>7.2228812442335658E-2</v>
      </c>
      <c r="N36" s="24">
        <f t="shared" ref="N36" si="81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82">Q11/Q9</f>
        <v>0.18964617472080164</v>
      </c>
      <c r="R36" s="24">
        <f t="shared" si="82"/>
        <v>0.1504649196956889</v>
      </c>
      <c r="S36" s="24">
        <f t="shared" ref="S36" si="83">S11/S9</f>
        <v>0.20086536861374604</v>
      </c>
      <c r="T36" s="24">
        <f>T11/T9</f>
        <v>0.2289724212385906</v>
      </c>
      <c r="U36" s="24">
        <f t="shared" ref="U36:V36" si="84">U11/U9</f>
        <v>0.19095801937567275</v>
      </c>
      <c r="V36" s="24">
        <f t="shared" si="84"/>
        <v>0.19120305282185177</v>
      </c>
      <c r="W36" s="24">
        <f t="shared" ref="W36:X36" si="85">W11/W9</f>
        <v>0.15864378401004597</v>
      </c>
      <c r="X36" s="24">
        <f t="shared" si="85"/>
        <v>0.17279269519461424</v>
      </c>
      <c r="Y36" s="24">
        <f t="shared" ref="Y36:Z36" si="86">Y11/Y9</f>
        <v>0.18148551853005304</v>
      </c>
      <c r="Z36" s="24">
        <f t="shared" si="86"/>
        <v>0.17189003088451218</v>
      </c>
      <c r="AA36" s="24">
        <f t="shared" ref="AA36:AB36" si="87">AA11/AA9</f>
        <v>0.18815525317867504</v>
      </c>
      <c r="AB36" s="24">
        <f t="shared" si="87"/>
        <v>0.16062106813010318</v>
      </c>
      <c r="AC36" s="24">
        <f t="shared" ref="AC36" si="88">AC11/AC9</f>
        <v>0.18600803592531315</v>
      </c>
      <c r="AE36" s="24">
        <f t="shared" ref="AE36:AF36" si="89">AE11/AE9</f>
        <v>0.19884556672179113</v>
      </c>
      <c r="AF36" s="24">
        <f t="shared" si="89"/>
        <v>0.18746309947537998</v>
      </c>
      <c r="AG36" s="24">
        <f t="shared" ref="AG36:AH36" si="90">AG11/AG9</f>
        <v>0.19892239646160034</v>
      </c>
      <c r="AH36" s="24">
        <f t="shared" si="90"/>
        <v>0.18253900296268397</v>
      </c>
      <c r="AI36" s="24">
        <f t="shared" ref="AI36:AJ36" si="91">AI11/AI9</f>
        <v>0.15144643174064798</v>
      </c>
      <c r="AJ36" s="24">
        <f t="shared" si="91"/>
        <v>0.1456266246842163</v>
      </c>
      <c r="AK36" s="24">
        <f>AK11/AK9</f>
        <v>0.12664739731112937</v>
      </c>
      <c r="AL36" s="24">
        <f>AL11/AL9</f>
        <v>0.15715238730582293</v>
      </c>
      <c r="AM36" s="24">
        <f t="shared" ref="AM36:AN36" si="92">AM11/AM9</f>
        <v>0.20090740903885118</v>
      </c>
      <c r="AN36" s="24">
        <f t="shared" si="92"/>
        <v>0.1726487615070704</v>
      </c>
    </row>
    <row r="37" spans="2:40">
      <c r="B37" s="3" t="s">
        <v>69</v>
      </c>
      <c r="C37" s="24">
        <f t="shared" ref="C37:D37" si="93">C18/C9</f>
        <v>-5.5191086118922062E-3</v>
      </c>
      <c r="D37" s="24">
        <f t="shared" si="93"/>
        <v>-1.4086748905690451E-2</v>
      </c>
      <c r="E37" s="24">
        <f t="shared" ref="E37:G37" si="94">E18/E9</f>
        <v>4.6838609505736171E-2</v>
      </c>
      <c r="F37" s="24">
        <f t="shared" ref="F37" si="95">F18/F9</f>
        <v>3.8878416588123597E-3</v>
      </c>
      <c r="G37" s="24">
        <f t="shared" si="94"/>
        <v>-1.8462285922507007E-2</v>
      </c>
      <c r="H37" s="24">
        <f>H18/H9</f>
        <v>1.9293537390295309E-2</v>
      </c>
      <c r="I37" s="24">
        <f t="shared" ref="I37:J37" si="96">I18/I9</f>
        <v>-1.7693092888737785E-2</v>
      </c>
      <c r="J37" s="24">
        <f t="shared" si="96"/>
        <v>-3.2422062350119955E-2</v>
      </c>
      <c r="K37" s="24">
        <f t="shared" ref="K37" si="97">K18/K9</f>
        <v>-7.3998106658251905E-2</v>
      </c>
      <c r="L37" s="24">
        <f t="shared" ref="L37" si="98">L18/L9</f>
        <v>-0.63737900223380473</v>
      </c>
      <c r="M37" s="24">
        <f>M18/M9</f>
        <v>-4.9690259654672372E-2</v>
      </c>
      <c r="N37" s="24">
        <f t="shared" ref="N37" si="99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100">Q18/Q9</f>
        <v>3.1311971610479127E-2</v>
      </c>
      <c r="R37" s="24">
        <f t="shared" si="100"/>
        <v>4.6568815799584988E-2</v>
      </c>
      <c r="S37" s="24">
        <f t="shared" ref="S37" si="101">S18/S9</f>
        <v>-6.0409385921118344E-2</v>
      </c>
      <c r="T37" s="24">
        <f>T18/T9</f>
        <v>6.5462753950338556E-2</v>
      </c>
      <c r="U37" s="24">
        <f t="shared" ref="U37:V37" si="102">U18/U9</f>
        <v>1.1948331539289545E-2</v>
      </c>
      <c r="V37" s="24">
        <f t="shared" si="102"/>
        <v>7.1199035950994152E-2</v>
      </c>
      <c r="W37" s="24">
        <f t="shared" ref="W37:X37" si="103">W18/W9</f>
        <v>-7.2694293288684347E-2</v>
      </c>
      <c r="X37" s="24">
        <f t="shared" si="103"/>
        <v>5.6643194304727966E-2</v>
      </c>
      <c r="Y37" s="24">
        <f t="shared" ref="Y37:Z37" si="104">Y18/Y9</f>
        <v>6.5711616318903862E-2</v>
      </c>
      <c r="Z37" s="24">
        <f t="shared" si="104"/>
        <v>0.10581742696572324</v>
      </c>
      <c r="AA37" s="24">
        <f t="shared" ref="AA37:AB37" si="105">AA18/AA9</f>
        <v>-4.349765781842466E-3</v>
      </c>
      <c r="AB37" s="24">
        <f t="shared" si="105"/>
        <v>8.5597644224334218E-2</v>
      </c>
      <c r="AC37" s="24">
        <f t="shared" ref="AC37" si="106">AC18/AC9</f>
        <v>0.1685180808319546</v>
      </c>
      <c r="AE37" s="24">
        <f t="shared" ref="AE37:AF37" si="107">AE18/AE9</f>
        <v>8.6391680447780173E-2</v>
      </c>
      <c r="AF37" s="24">
        <f t="shared" si="107"/>
        <v>5.5920109309896944E-2</v>
      </c>
      <c r="AG37" s="24">
        <f t="shared" ref="AG37:AH37" si="108">AG18/AG9</f>
        <v>3.3132287897064766E-2</v>
      </c>
      <c r="AH37" s="24">
        <f t="shared" si="108"/>
        <v>5.6393745825698366E-2</v>
      </c>
      <c r="AI37" s="24">
        <f t="shared" ref="AI37:AJ37" si="109">AI18/AI9</f>
        <v>6.9610143755792601E-3</v>
      </c>
      <c r="AJ37" s="24">
        <f t="shared" si="109"/>
        <v>-1.4095851792186873E-2</v>
      </c>
      <c r="AK37" s="24">
        <f>AK18/AK9</f>
        <v>-8.5757471294847662E-2</v>
      </c>
      <c r="AL37" s="24">
        <f>AL18/AL9</f>
        <v>4.7960545125321614E-2</v>
      </c>
      <c r="AM37" s="24">
        <f t="shared" ref="AM37:AN37" si="110">AM18/AM9</f>
        <v>-2.4337062813849026E-2</v>
      </c>
      <c r="AN37" s="24">
        <f t="shared" si="110"/>
        <v>5.9694410173673787E-2</v>
      </c>
    </row>
    <row r="38" spans="2:40">
      <c r="B38" s="3" t="s">
        <v>70</v>
      </c>
      <c r="C38" s="24">
        <f t="shared" ref="C38:D38" si="111">C23/C9</f>
        <v>-3.6342809538685919E-2</v>
      </c>
      <c r="D38" s="24">
        <f t="shared" si="111"/>
        <v>-9.9243931555909312E-2</v>
      </c>
      <c r="E38" s="24">
        <f t="shared" ref="E38:G38" si="112">E23/E9</f>
        <v>-9.1434486327957032E-3</v>
      </c>
      <c r="F38" s="24">
        <f t="shared" ref="F38" si="113">F23/F9</f>
        <v>2.2384542884070799E-3</v>
      </c>
      <c r="G38" s="24">
        <f t="shared" si="112"/>
        <v>-5.0042511842584743E-2</v>
      </c>
      <c r="H38" s="24">
        <f>H23/H9</f>
        <v>6.6729527816059642E-3</v>
      </c>
      <c r="I38" s="24">
        <f t="shared" ref="I38:J38" si="114">I23/I9</f>
        <v>-6.4052398775093694E-2</v>
      </c>
      <c r="J38" s="24">
        <f t="shared" si="114"/>
        <v>-0.10033573141486815</v>
      </c>
      <c r="K38" s="24">
        <f t="shared" ref="K38" si="115">K23/K9</f>
        <v>-0.45850426001893357</v>
      </c>
      <c r="L38" s="24">
        <f t="shared" ref="L38" si="116">L23/L9</f>
        <v>-0.58190618019359619</v>
      </c>
      <c r="M38" s="24">
        <f>M23/M9</f>
        <v>-0.15750626070910759</v>
      </c>
      <c r="N38" s="24">
        <f t="shared" ref="N38" si="117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118">Q23/Q9</f>
        <v>-4.7698570086629734E-2</v>
      </c>
      <c r="R38" s="24">
        <f t="shared" si="118"/>
        <v>2.3053869207714925E-3</v>
      </c>
      <c r="S38" s="24">
        <f t="shared" ref="S38" si="119">S23/S9</f>
        <v>-5.1090031619237815E-2</v>
      </c>
      <c r="T38" s="24">
        <f>T23/T9</f>
        <v>7.2725488271665487E-2</v>
      </c>
      <c r="U38" s="24">
        <f t="shared" ref="U38:V38" si="120">U23/U9</f>
        <v>-4.4564047362755668E-2</v>
      </c>
      <c r="V38" s="24">
        <f t="shared" si="120"/>
        <v>1.1598714601325551E-2</v>
      </c>
      <c r="W38" s="24">
        <f t="shared" ref="W38:X38" si="121">W23/W9</f>
        <v>-0.10143714245849039</v>
      </c>
      <c r="X38" s="24">
        <f t="shared" si="121"/>
        <v>-2.0196548788980924E-2</v>
      </c>
      <c r="Y38" s="24">
        <f t="shared" ref="Y38:Z38" si="122">Y23/Y9</f>
        <v>5.0062285892245498E-2</v>
      </c>
      <c r="Z38" s="24">
        <f t="shared" si="122"/>
        <v>6.895853374512681E-2</v>
      </c>
      <c r="AA38" s="24">
        <f t="shared" ref="AA38:AB38" si="123">AA23/AA9</f>
        <v>3.6136515726076339E-2</v>
      </c>
      <c r="AB38" s="24">
        <f t="shared" si="123"/>
        <v>6.8598581180564985E-2</v>
      </c>
      <c r="AC38" s="24">
        <f t="shared" ref="AC38" si="124">AC23/AC9</f>
        <v>0.10736232569132589</v>
      </c>
      <c r="AE38" s="24">
        <f t="shared" ref="AE38:AF38" si="125">AE23/AE9</f>
        <v>5.5288767332400457E-2</v>
      </c>
      <c r="AF38" s="24">
        <f t="shared" si="125"/>
        <v>1.3629999493935688E-2</v>
      </c>
      <c r="AG38" s="24">
        <f t="shared" ref="AG38:AH38" si="126">AG23/AG9</f>
        <v>2.6988339364696447E-2</v>
      </c>
      <c r="AH38" s="24">
        <f t="shared" si="126"/>
        <v>4.5005394482215411E-2</v>
      </c>
      <c r="AI38" s="24">
        <f t="shared" ref="AI38:AJ38" si="127">AI23/AI9</f>
        <v>-3.3759933742186117E-2</v>
      </c>
      <c r="AJ38" s="24">
        <f t="shared" si="127"/>
        <v>-5.7939442756196682E-2</v>
      </c>
      <c r="AK38" s="24">
        <f>AK23/AK9</f>
        <v>-0.1931266739147729</v>
      </c>
      <c r="AL38" s="24">
        <f>AL23/AL9</f>
        <v>-1.0364052225293087E-2</v>
      </c>
      <c r="AM38" s="24">
        <f t="shared" ref="AM38:AN38" si="128">AM23/AM9</f>
        <v>-4.4819839661703845E-2</v>
      </c>
      <c r="AN38" s="24">
        <f t="shared" si="128"/>
        <v>3.1185346872924055E-2</v>
      </c>
    </row>
    <row r="39" spans="2:40">
      <c r="B39" s="3" t="s">
        <v>71</v>
      </c>
      <c r="C39" s="24">
        <f t="shared" ref="C39:D39" si="129">C22/C21</f>
        <v>0.35250463821892336</v>
      </c>
      <c r="D39" s="24">
        <f t="shared" si="129"/>
        <v>-0.80986937590711117</v>
      </c>
      <c r="E39" s="24">
        <f t="shared" ref="E39:G39" si="130">E22/E21</f>
        <v>2.3417721518987515</v>
      </c>
      <c r="F39" s="24">
        <f t="shared" ref="F39" si="131">F22/F21</f>
        <v>1.255033557046968</v>
      </c>
      <c r="G39" s="24">
        <f t="shared" si="130"/>
        <v>0.12711864406779658</v>
      </c>
      <c r="H39" s="24">
        <f>H22/H21</f>
        <v>2.4375000000000546</v>
      </c>
      <c r="I39" s="24">
        <f t="shared" ref="I39:J39" si="132">I22/I21</f>
        <v>-1.0974930362116948</v>
      </c>
      <c r="J39" s="24">
        <f t="shared" si="132"/>
        <v>-1.1633919338159242</v>
      </c>
      <c r="K39" s="24">
        <f t="shared" ref="K39:L39" si="133">K22/K21</f>
        <v>-1.6982358402971207</v>
      </c>
      <c r="L39" s="24">
        <f t="shared" si="133"/>
        <v>0.19887237314197853</v>
      </c>
      <c r="M39" s="24">
        <f>M22/M21</f>
        <v>0.19582772543741597</v>
      </c>
      <c r="N39" s="24">
        <f t="shared" ref="N39" si="134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35">Q22/Q21</f>
        <v>-0.82800000000000162</v>
      </c>
      <c r="R39" s="24">
        <f t="shared" si="135"/>
        <v>0.94800693240901301</v>
      </c>
      <c r="S39" s="24">
        <f t="shared" ref="S39" si="136">S22/S21</f>
        <v>0.62098765432098757</v>
      </c>
      <c r="T39" s="24">
        <f>T22/T21</f>
        <v>-0.49696969696969745</v>
      </c>
      <c r="U39" s="24">
        <f t="shared" ref="U39:V39" si="137">U22/U21</f>
        <v>0.10195227765726678</v>
      </c>
      <c r="V39" s="24">
        <f t="shared" si="137"/>
        <v>0.76760563380281721</v>
      </c>
      <c r="W39" s="24">
        <f t="shared" ref="W39:X39" si="138">W22/W21</f>
        <v>0.29554263565891453</v>
      </c>
      <c r="X39" s="24">
        <f t="shared" si="138"/>
        <v>-31.624999999998199</v>
      </c>
      <c r="Y39" s="24">
        <f t="shared" ref="Y39:Z39" si="139">Y22/Y21</f>
        <v>-0.12412587412587384</v>
      </c>
      <c r="Z39" s="24">
        <f t="shared" si="139"/>
        <v>0.18686567164179108</v>
      </c>
      <c r="AA39" s="24">
        <f t="shared" ref="AA39:AB39" si="140">AA22/AA21</f>
        <v>1.8181818181818153E-2</v>
      </c>
      <c r="AB39" s="24">
        <f t="shared" si="140"/>
        <v>7.9892280071813135E-2</v>
      </c>
      <c r="AC39" s="24">
        <f t="shared" ref="AC39" si="141">AC22/AC21</f>
        <v>0.25532786885245912</v>
      </c>
      <c r="AE39" s="24">
        <f t="shared" ref="AE39:AF39" si="142">AE22/AE21</f>
        <v>0.30998213931335583</v>
      </c>
      <c r="AF39" s="24">
        <f t="shared" si="142"/>
        <v>0.75966686496133218</v>
      </c>
      <c r="AG39" s="24">
        <f t="shared" ref="AG39:AH39" si="143">AG22/AG21</f>
        <v>-5.4682589566310433E-2</v>
      </c>
      <c r="AH39" s="24">
        <f t="shared" si="143"/>
        <v>8.8449531737773007E-2</v>
      </c>
      <c r="AI39" s="24">
        <f t="shared" ref="AI39:AJ39" si="144">AI22/AI21</f>
        <v>-0.25697503671071947</v>
      </c>
      <c r="AJ39" s="24">
        <f t="shared" si="144"/>
        <v>-0.6997851772287863</v>
      </c>
      <c r="AK39" s="24">
        <f>AK22/AK21</f>
        <v>-0.14656801007556672</v>
      </c>
      <c r="AL39" s="24">
        <f>AL22/AL21</f>
        <v>2.5875912408759256</v>
      </c>
      <c r="AM39" s="24">
        <f t="shared" ref="AM39:AN39" si="145">AM22/AM21</f>
        <v>1.1175898931000964E-2</v>
      </c>
      <c r="AN39" s="24">
        <f t="shared" si="145"/>
        <v>-0.36122618061308914</v>
      </c>
    </row>
    <row r="42" spans="2:40">
      <c r="B42" s="30" t="s">
        <v>82</v>
      </c>
    </row>
    <row r="43" spans="2:40" s="2" customFormat="1">
      <c r="B43" s="26" t="s">
        <v>83</v>
      </c>
      <c r="C43" s="2">
        <f t="shared" ref="C43:D43" si="146">C44+C52</f>
        <v>25</v>
      </c>
      <c r="D43" s="2">
        <f t="shared" si="146"/>
        <v>48</v>
      </c>
      <c r="E43" s="2">
        <f t="shared" ref="E43:F43" si="147">E44+E52</f>
        <v>39</v>
      </c>
      <c r="F43" s="2">
        <f t="shared" si="147"/>
        <v>69</v>
      </c>
      <c r="G43" s="2">
        <f t="shared" ref="G43:H43" si="148">G44+G52</f>
        <v>22</v>
      </c>
      <c r="H43" s="2">
        <f t="shared" si="148"/>
        <v>51</v>
      </c>
      <c r="I43" s="2">
        <f t="shared" ref="I43:J43" si="149">I44+I52</f>
        <v>44</v>
      </c>
      <c r="J43" s="2">
        <f t="shared" si="149"/>
        <v>81</v>
      </c>
      <c r="K43" s="2">
        <f t="shared" ref="K43:L43" si="150">K44+K52</f>
        <v>14</v>
      </c>
      <c r="L43" s="2">
        <f t="shared" si="150"/>
        <v>17</v>
      </c>
      <c r="M43" s="2">
        <f t="shared" ref="M43" si="151">M44+M52</f>
        <v>48</v>
      </c>
      <c r="N43" s="2">
        <f t="shared" ref="N43:S43" si="152">N44+N52</f>
        <v>71</v>
      </c>
      <c r="O43" s="2">
        <f t="shared" ref="O43" si="153">O44+O52</f>
        <v>22</v>
      </c>
      <c r="P43" s="2">
        <f t="shared" si="152"/>
        <v>34</v>
      </c>
      <c r="Q43" s="2">
        <f t="shared" si="152"/>
        <v>30</v>
      </c>
      <c r="R43" s="2">
        <f t="shared" si="152"/>
        <v>55</v>
      </c>
      <c r="S43" s="2">
        <f t="shared" si="152"/>
        <v>26</v>
      </c>
      <c r="T43" s="2">
        <f>T44+T52</f>
        <v>32</v>
      </c>
      <c r="U43" s="2">
        <f t="shared" ref="U43:V43" si="154">U44+U52</f>
        <v>33</v>
      </c>
      <c r="V43" s="2">
        <f t="shared" si="154"/>
        <v>80</v>
      </c>
      <c r="W43" s="2">
        <f t="shared" ref="W43:X43" si="155">W44+W52</f>
        <v>15</v>
      </c>
      <c r="X43" s="2">
        <f t="shared" si="155"/>
        <v>47</v>
      </c>
      <c r="Y43" s="2">
        <f t="shared" ref="Y43:Z43" si="156">Y44+Y52</f>
        <v>43</v>
      </c>
      <c r="Z43" s="2">
        <f t="shared" si="156"/>
        <v>74</v>
      </c>
      <c r="AA43" s="2">
        <f t="shared" ref="AA43" si="157">AA44+AA52</f>
        <v>25</v>
      </c>
      <c r="AB43" s="2">
        <f>AB44+AB52+AB57</f>
        <v>47</v>
      </c>
      <c r="AC43" s="2">
        <f>AC44+AC52+AC57</f>
        <v>59</v>
      </c>
      <c r="AE43" s="2">
        <f t="shared" ref="AE43:AF43" si="158">AE44+AE52</f>
        <v>208</v>
      </c>
      <c r="AF43" s="2">
        <f t="shared" si="158"/>
        <v>221</v>
      </c>
      <c r="AG43" s="2">
        <f t="shared" ref="AG43:AH43" si="159">AG44+AG52</f>
        <v>225</v>
      </c>
      <c r="AH43" s="2">
        <f t="shared" si="159"/>
        <v>210</v>
      </c>
      <c r="AI43" s="2">
        <f t="shared" ref="AI43:AJ43" si="160">AI44+AI52</f>
        <v>178</v>
      </c>
      <c r="AJ43" s="2">
        <f t="shared" si="160"/>
        <v>198</v>
      </c>
      <c r="AK43" s="2">
        <f>AK44+AK52</f>
        <v>130</v>
      </c>
      <c r="AL43" s="2">
        <f>AL44+AL52</f>
        <v>141</v>
      </c>
      <c r="AM43" s="2">
        <f t="shared" ref="AM43:AN43" si="161">AM44+AM52</f>
        <v>171</v>
      </c>
      <c r="AN43" s="2">
        <f t="shared" si="161"/>
        <v>179</v>
      </c>
    </row>
    <row r="44" spans="2:40" s="37" customFormat="1">
      <c r="B44" s="46" t="s">
        <v>84</v>
      </c>
      <c r="C44" s="37">
        <f t="shared" ref="C44" si="162">SUM(C45:C50)</f>
        <v>14</v>
      </c>
      <c r="D44" s="37">
        <f>SUM(D45:D50)</f>
        <v>28</v>
      </c>
      <c r="E44" s="37">
        <f>SUM(E45:E50)</f>
        <v>15</v>
      </c>
      <c r="F44" s="37">
        <f t="shared" ref="F44" si="163">SUM(F45:F50)</f>
        <v>33</v>
      </c>
      <c r="G44" s="37">
        <f t="shared" ref="G44" si="164">SUM(G45:G50)</f>
        <v>11</v>
      </c>
      <c r="H44" s="37">
        <f t="shared" ref="H44:T44" si="165">SUM(H45:H50)</f>
        <v>26</v>
      </c>
      <c r="I44" s="37">
        <f t="shared" si="165"/>
        <v>17</v>
      </c>
      <c r="J44" s="37">
        <f t="shared" si="165"/>
        <v>35</v>
      </c>
      <c r="K44" s="37">
        <f t="shared" si="165"/>
        <v>5</v>
      </c>
      <c r="L44" s="37">
        <f t="shared" si="165"/>
        <v>4</v>
      </c>
      <c r="M44" s="37">
        <f t="shared" si="165"/>
        <v>27</v>
      </c>
      <c r="N44" s="37">
        <f t="shared" si="165"/>
        <v>28</v>
      </c>
      <c r="O44" s="37">
        <f t="shared" si="165"/>
        <v>9</v>
      </c>
      <c r="P44" s="37">
        <f t="shared" si="165"/>
        <v>14</v>
      </c>
      <c r="Q44" s="37">
        <f t="shared" si="165"/>
        <v>9</v>
      </c>
      <c r="R44" s="37">
        <f t="shared" si="165"/>
        <v>16</v>
      </c>
      <c r="S44" s="37">
        <f t="shared" si="165"/>
        <v>6</v>
      </c>
      <c r="T44" s="37">
        <f t="shared" si="165"/>
        <v>11</v>
      </c>
      <c r="U44" s="37">
        <f t="shared" ref="U44:V44" si="166">SUM(U45:U50)</f>
        <v>10</v>
      </c>
      <c r="V44" s="37">
        <f t="shared" si="166"/>
        <v>30</v>
      </c>
      <c r="W44" s="37">
        <f t="shared" ref="W44:X44" si="167">SUM(W45:W50)</f>
        <v>7</v>
      </c>
      <c r="X44" s="37">
        <f t="shared" si="167"/>
        <v>17</v>
      </c>
      <c r="Y44" s="37">
        <f t="shared" ref="Y44:Z44" si="168">SUM(Y45:Y50)</f>
        <v>15</v>
      </c>
      <c r="Z44" s="37">
        <f t="shared" si="168"/>
        <v>25</v>
      </c>
      <c r="AA44" s="37">
        <f t="shared" ref="AA44:AB44" si="169">SUM(AA45:AA50)</f>
        <v>7</v>
      </c>
      <c r="AB44" s="37">
        <f t="shared" si="169"/>
        <v>19</v>
      </c>
      <c r="AC44" s="37">
        <f t="shared" ref="AC44" si="170">SUM(AC45:AC50)</f>
        <v>16</v>
      </c>
      <c r="AE44" s="37">
        <f t="shared" ref="AE44:AF44" si="171">SUM(AE45:AE50)</f>
        <v>92</v>
      </c>
      <c r="AF44" s="37">
        <f t="shared" si="171"/>
        <v>101</v>
      </c>
      <c r="AG44" s="37">
        <f t="shared" ref="AG44:AH44" si="172">SUM(AG45:AG50)</f>
        <v>108</v>
      </c>
      <c r="AH44" s="37">
        <f t="shared" si="172"/>
        <v>101</v>
      </c>
      <c r="AI44" s="37">
        <f t="shared" ref="AI44:AJ44" si="173">SUM(AI45:AI50)</f>
        <v>90</v>
      </c>
      <c r="AJ44" s="37">
        <f t="shared" si="173"/>
        <v>89</v>
      </c>
      <c r="AK44" s="37">
        <f t="shared" ref="AK44:AL44" si="174">SUM(AK45:AK50)</f>
        <v>44</v>
      </c>
      <c r="AL44" s="37">
        <f t="shared" si="174"/>
        <v>48</v>
      </c>
      <c r="AM44" s="37">
        <f t="shared" ref="AM44:AN44" si="175">SUM(AM45:AM50)</f>
        <v>57</v>
      </c>
      <c r="AN44" s="37">
        <f t="shared" si="175"/>
        <v>64</v>
      </c>
    </row>
    <row r="45" spans="2:40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E45" s="36">
        <v>1</v>
      </c>
      <c r="AF45" s="36">
        <v>2</v>
      </c>
      <c r="AG45" s="36">
        <v>0</v>
      </c>
      <c r="AH45" s="36">
        <v>0</v>
      </c>
      <c r="AI45" s="36">
        <v>1</v>
      </c>
      <c r="AJ45" s="36">
        <v>0</v>
      </c>
      <c r="AK45" s="36">
        <v>0</v>
      </c>
      <c r="AL45" s="36">
        <v>0</v>
      </c>
      <c r="AM45" s="36">
        <f t="shared" ref="AM45:AM50" si="176">SUM(S45:V45)</f>
        <v>0</v>
      </c>
      <c r="AN45" s="36">
        <f>SUM(W45:Z45)</f>
        <v>0</v>
      </c>
    </row>
    <row r="46" spans="2:40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X46" s="36">
        <v>10</v>
      </c>
      <c r="Y46" s="36">
        <v>6</v>
      </c>
      <c r="Z46" s="36">
        <v>7</v>
      </c>
      <c r="AA46" s="36">
        <v>3</v>
      </c>
      <c r="AB46" s="36">
        <v>8</v>
      </c>
      <c r="AC46" s="36">
        <v>4</v>
      </c>
      <c r="AE46" s="36">
        <v>62</v>
      </c>
      <c r="AF46" s="36">
        <v>82</v>
      </c>
      <c r="AG46" s="36">
        <v>90</v>
      </c>
      <c r="AH46" s="36">
        <v>79</v>
      </c>
      <c r="AI46" s="36">
        <v>67</v>
      </c>
      <c r="AJ46" s="36">
        <v>67</v>
      </c>
      <c r="AK46" s="36">
        <v>32</v>
      </c>
      <c r="AL46" s="36">
        <v>27</v>
      </c>
      <c r="AM46" s="36">
        <f t="shared" si="176"/>
        <v>35</v>
      </c>
      <c r="AN46" s="36">
        <f t="shared" ref="AN46:AN50" si="177">SUM(W46:Z46)</f>
        <v>25</v>
      </c>
    </row>
    <row r="47" spans="2:40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2</v>
      </c>
      <c r="AE47" s="36">
        <v>19</v>
      </c>
      <c r="AF47" s="36">
        <v>8</v>
      </c>
      <c r="AG47" s="36">
        <v>11</v>
      </c>
      <c r="AH47" s="36">
        <v>12</v>
      </c>
      <c r="AI47" s="36">
        <v>13</v>
      </c>
      <c r="AJ47" s="36">
        <v>5</v>
      </c>
      <c r="AK47" s="36">
        <v>1</v>
      </c>
      <c r="AL47" s="36">
        <v>0</v>
      </c>
      <c r="AM47" s="36">
        <f t="shared" si="176"/>
        <v>3</v>
      </c>
      <c r="AN47" s="36">
        <f t="shared" si="177"/>
        <v>0</v>
      </c>
    </row>
    <row r="48" spans="2:40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E48" s="36">
        <v>10</v>
      </c>
      <c r="AF48" s="36">
        <v>9</v>
      </c>
      <c r="AG48" s="36">
        <v>7</v>
      </c>
      <c r="AH48" s="36">
        <v>10</v>
      </c>
      <c r="AI48" s="36">
        <v>5</v>
      </c>
      <c r="AJ48" s="36">
        <v>3</v>
      </c>
      <c r="AK48" s="36">
        <v>0</v>
      </c>
      <c r="AL48" s="36">
        <v>0</v>
      </c>
      <c r="AM48" s="36">
        <f t="shared" si="176"/>
        <v>0</v>
      </c>
      <c r="AN48" s="36">
        <f t="shared" si="177"/>
        <v>0</v>
      </c>
    </row>
    <row r="49" spans="2:40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X49" s="36">
        <v>0</v>
      </c>
      <c r="Y49" s="36">
        <v>0</v>
      </c>
      <c r="Z49" s="36">
        <v>1</v>
      </c>
      <c r="AA49" s="36">
        <v>0</v>
      </c>
      <c r="AB49" s="36">
        <v>4</v>
      </c>
      <c r="AC49" s="36">
        <v>0</v>
      </c>
      <c r="AE49" s="36">
        <v>0</v>
      </c>
      <c r="AF49" s="36">
        <v>0</v>
      </c>
      <c r="AG49" s="36">
        <v>0</v>
      </c>
      <c r="AH49" s="36">
        <v>0</v>
      </c>
      <c r="AI49" s="36">
        <v>4</v>
      </c>
      <c r="AJ49" s="36">
        <v>7</v>
      </c>
      <c r="AK49" s="36">
        <v>4</v>
      </c>
      <c r="AL49" s="36">
        <v>2</v>
      </c>
      <c r="AM49" s="36">
        <f t="shared" si="176"/>
        <v>1</v>
      </c>
      <c r="AN49" s="36">
        <f t="shared" si="177"/>
        <v>1</v>
      </c>
    </row>
    <row r="50" spans="2:40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X50" s="36">
        <v>7</v>
      </c>
      <c r="Y50" s="36">
        <v>9</v>
      </c>
      <c r="Z50" s="36">
        <v>17</v>
      </c>
      <c r="AA50" s="36">
        <v>4</v>
      </c>
      <c r="AB50" s="36">
        <v>7</v>
      </c>
      <c r="AC50" s="36">
        <v>10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7</v>
      </c>
      <c r="AK50" s="36">
        <v>7</v>
      </c>
      <c r="AL50" s="36">
        <v>19</v>
      </c>
      <c r="AM50" s="36">
        <f t="shared" si="176"/>
        <v>18</v>
      </c>
      <c r="AN50" s="36">
        <f t="shared" si="177"/>
        <v>38</v>
      </c>
    </row>
    <row r="51" spans="2:40" s="36" customFormat="1">
      <c r="B51" s="45"/>
    </row>
    <row r="52" spans="2:40" s="37" customFormat="1">
      <c r="B52" s="46" t="s">
        <v>87</v>
      </c>
      <c r="C52" s="37">
        <f t="shared" ref="C52" si="178">C53+C54+C55</f>
        <v>11</v>
      </c>
      <c r="D52" s="37">
        <f>D53+D54+D55</f>
        <v>20</v>
      </c>
      <c r="E52" s="37">
        <f>E53+E54+E55</f>
        <v>24</v>
      </c>
      <c r="F52" s="37">
        <f t="shared" ref="F52" si="179">F53+F54+F55</f>
        <v>36</v>
      </c>
      <c r="G52" s="37">
        <f>G53+G54+G55</f>
        <v>11</v>
      </c>
      <c r="H52" s="37">
        <f>H53+H54+H55</f>
        <v>25</v>
      </c>
      <c r="I52" s="37">
        <f t="shared" ref="I52:J52" si="180">I53+I54+I55</f>
        <v>27</v>
      </c>
      <c r="J52" s="37">
        <f t="shared" si="180"/>
        <v>46</v>
      </c>
      <c r="K52" s="37">
        <f>K53+K54+K55</f>
        <v>9</v>
      </c>
      <c r="L52" s="37">
        <f>L53+L54+L55</f>
        <v>13</v>
      </c>
      <c r="M52" s="37">
        <f t="shared" ref="M52" si="181">M53+M54+M55</f>
        <v>21</v>
      </c>
      <c r="N52" s="37">
        <f t="shared" ref="N52:AC52" si="182">N53+N54+N55</f>
        <v>43</v>
      </c>
      <c r="O52" s="37">
        <f t="shared" si="182"/>
        <v>13</v>
      </c>
      <c r="P52" s="37">
        <f t="shared" si="182"/>
        <v>20</v>
      </c>
      <c r="Q52" s="37">
        <f t="shared" si="182"/>
        <v>21</v>
      </c>
      <c r="R52" s="37">
        <f t="shared" si="182"/>
        <v>39</v>
      </c>
      <c r="S52" s="37">
        <f t="shared" si="182"/>
        <v>20</v>
      </c>
      <c r="T52" s="37">
        <f t="shared" si="182"/>
        <v>21</v>
      </c>
      <c r="U52" s="37">
        <f t="shared" si="182"/>
        <v>23</v>
      </c>
      <c r="V52" s="37">
        <f t="shared" si="182"/>
        <v>50</v>
      </c>
      <c r="W52" s="37">
        <f t="shared" si="182"/>
        <v>8</v>
      </c>
      <c r="X52" s="37">
        <f t="shared" si="182"/>
        <v>30</v>
      </c>
      <c r="Y52" s="37">
        <f t="shared" si="182"/>
        <v>28</v>
      </c>
      <c r="Z52" s="37">
        <f t="shared" si="182"/>
        <v>49</v>
      </c>
      <c r="AA52" s="37">
        <f t="shared" si="182"/>
        <v>18</v>
      </c>
      <c r="AB52" s="37">
        <f t="shared" si="182"/>
        <v>27</v>
      </c>
      <c r="AC52" s="37">
        <f t="shared" si="182"/>
        <v>41</v>
      </c>
      <c r="AE52" s="37">
        <f t="shared" ref="AE52:AF52" si="183">AE53+AE54+AE55</f>
        <v>116</v>
      </c>
      <c r="AF52" s="37">
        <f t="shared" si="183"/>
        <v>120</v>
      </c>
      <c r="AG52" s="37">
        <f t="shared" ref="AG52:AH52" si="184">AG53+AG54+AG55</f>
        <v>117</v>
      </c>
      <c r="AH52" s="37">
        <f t="shared" si="184"/>
        <v>109</v>
      </c>
      <c r="AI52" s="37">
        <f t="shared" ref="AI52:AJ52" si="185">AI53+AI54+AI55</f>
        <v>88</v>
      </c>
      <c r="AJ52" s="37">
        <f t="shared" si="185"/>
        <v>109</v>
      </c>
      <c r="AK52" s="37">
        <f>AK53+AK54+AK55</f>
        <v>86</v>
      </c>
      <c r="AL52" s="37">
        <f>AL53+AL54+AL55</f>
        <v>93</v>
      </c>
      <c r="AM52" s="37">
        <f>AM53+AM54+AM55</f>
        <v>114</v>
      </c>
      <c r="AN52" s="37">
        <f>AN53+AN54+AN55</f>
        <v>115</v>
      </c>
    </row>
    <row r="53" spans="2:40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X53" s="36">
        <v>19</v>
      </c>
      <c r="Y53" s="36">
        <v>19</v>
      </c>
      <c r="Z53" s="36">
        <v>30</v>
      </c>
      <c r="AA53" s="36">
        <v>11</v>
      </c>
      <c r="AB53" s="36">
        <v>20</v>
      </c>
      <c r="AC53" s="36">
        <v>22</v>
      </c>
      <c r="AE53" s="36">
        <v>92</v>
      </c>
      <c r="AF53" s="36">
        <v>82</v>
      </c>
      <c r="AG53" s="36">
        <v>73</v>
      </c>
      <c r="AH53" s="36">
        <v>72</v>
      </c>
      <c r="AI53" s="36">
        <v>64</v>
      </c>
      <c r="AJ53" s="36">
        <v>62</v>
      </c>
      <c r="AK53" s="36">
        <v>56</v>
      </c>
      <c r="AL53" s="36">
        <v>62</v>
      </c>
      <c r="AM53" s="36">
        <f>SUM(S53:V53)</f>
        <v>72</v>
      </c>
      <c r="AN53" s="36">
        <f t="shared" ref="AN53:AN55" si="186">SUM(W53:Z53)</f>
        <v>74</v>
      </c>
    </row>
    <row r="54" spans="2:40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X54" s="36">
        <v>11</v>
      </c>
      <c r="Y54" s="36">
        <v>9</v>
      </c>
      <c r="Z54" s="36">
        <v>19</v>
      </c>
      <c r="AA54" s="36">
        <v>0</v>
      </c>
      <c r="AB54" s="36">
        <v>7</v>
      </c>
      <c r="AC54" s="36">
        <v>19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36">
        <v>30</v>
      </c>
      <c r="AL54" s="36">
        <v>31</v>
      </c>
      <c r="AM54" s="36">
        <f>SUM(S54:V54)</f>
        <v>42</v>
      </c>
      <c r="AN54" s="36">
        <f t="shared" si="186"/>
        <v>41</v>
      </c>
    </row>
    <row r="55" spans="2:40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7</v>
      </c>
      <c r="AB55" s="36">
        <v>0</v>
      </c>
      <c r="AC55" s="36">
        <v>0</v>
      </c>
      <c r="AE55" s="36">
        <v>24</v>
      </c>
      <c r="AF55" s="36">
        <v>38</v>
      </c>
      <c r="AG55" s="36">
        <v>44</v>
      </c>
      <c r="AH55" s="36">
        <v>37</v>
      </c>
      <c r="AI55" s="36">
        <v>24</v>
      </c>
      <c r="AJ55" s="36">
        <v>47</v>
      </c>
      <c r="AK55" s="36">
        <v>0</v>
      </c>
      <c r="AL55" s="36">
        <v>0</v>
      </c>
      <c r="AM55" s="36">
        <f>SUM(S55:V55)</f>
        <v>0</v>
      </c>
      <c r="AN55" s="36">
        <f t="shared" si="186"/>
        <v>0</v>
      </c>
    </row>
    <row r="56" spans="2:40" s="36" customFormat="1">
      <c r="B56" s="45"/>
    </row>
    <row r="57" spans="2:40" s="36" customFormat="1">
      <c r="B57" s="45" t="s">
        <v>312</v>
      </c>
      <c r="C57" s="111">
        <v>0</v>
      </c>
      <c r="D57" s="111">
        <v>0</v>
      </c>
      <c r="E57" s="111">
        <v>0</v>
      </c>
      <c r="F57" s="111">
        <v>0</v>
      </c>
      <c r="G57" s="111">
        <v>0</v>
      </c>
      <c r="H57" s="111">
        <v>0</v>
      </c>
      <c r="I57" s="111">
        <v>0</v>
      </c>
      <c r="J57" s="111">
        <v>0</v>
      </c>
      <c r="K57" s="111">
        <v>0</v>
      </c>
      <c r="L57" s="111">
        <v>0</v>
      </c>
      <c r="M57" s="111">
        <v>0</v>
      </c>
      <c r="N57" s="111">
        <v>0</v>
      </c>
      <c r="O57" s="111">
        <v>0</v>
      </c>
      <c r="P57" s="111">
        <v>0</v>
      </c>
      <c r="Q57" s="111">
        <v>0</v>
      </c>
      <c r="R57" s="111">
        <v>0</v>
      </c>
      <c r="S57" s="111">
        <v>0</v>
      </c>
      <c r="T57" s="111">
        <v>0</v>
      </c>
      <c r="U57" s="111">
        <v>0</v>
      </c>
      <c r="V57" s="111">
        <v>0</v>
      </c>
      <c r="W57" s="111">
        <v>0</v>
      </c>
      <c r="X57" s="111">
        <v>0</v>
      </c>
      <c r="Y57" s="111">
        <v>0</v>
      </c>
      <c r="Z57" s="111">
        <v>0</v>
      </c>
      <c r="AA57" s="111">
        <v>0</v>
      </c>
      <c r="AB57" s="36">
        <v>1</v>
      </c>
      <c r="AC57" s="36">
        <v>2</v>
      </c>
    </row>
    <row r="58" spans="2:40" s="36" customFormat="1">
      <c r="B58" s="45"/>
    </row>
    <row r="59" spans="2:40" s="37" customFormat="1">
      <c r="B59" s="26" t="s">
        <v>202</v>
      </c>
      <c r="C59" s="62" t="s">
        <v>186</v>
      </c>
      <c r="D59" s="62" t="s">
        <v>186</v>
      </c>
      <c r="E59" s="62" t="s">
        <v>186</v>
      </c>
      <c r="F59" s="62" t="s">
        <v>186</v>
      </c>
      <c r="G59" s="61">
        <f t="shared" ref="G59:S59" si="187">G43/C43-1</f>
        <v>-0.12</v>
      </c>
      <c r="H59" s="61">
        <f t="shared" si="187"/>
        <v>6.25E-2</v>
      </c>
      <c r="I59" s="61">
        <f t="shared" si="187"/>
        <v>0.12820512820512819</v>
      </c>
      <c r="J59" s="61">
        <f t="shared" si="187"/>
        <v>0.17391304347826098</v>
      </c>
      <c r="K59" s="61">
        <f t="shared" si="187"/>
        <v>-0.36363636363636365</v>
      </c>
      <c r="L59" s="61">
        <f t="shared" si="187"/>
        <v>-0.66666666666666674</v>
      </c>
      <c r="M59" s="61">
        <f t="shared" si="187"/>
        <v>9.0909090909090828E-2</v>
      </c>
      <c r="N59" s="61">
        <f t="shared" si="187"/>
        <v>-0.12345679012345678</v>
      </c>
      <c r="O59" s="61">
        <f t="shared" si="187"/>
        <v>0.5714285714285714</v>
      </c>
      <c r="P59" s="61">
        <f t="shared" si="187"/>
        <v>1</v>
      </c>
      <c r="Q59" s="61">
        <f t="shared" si="187"/>
        <v>-0.375</v>
      </c>
      <c r="R59" s="61">
        <f t="shared" si="187"/>
        <v>-0.22535211267605637</v>
      </c>
      <c r="S59" s="61">
        <f t="shared" si="187"/>
        <v>0.18181818181818188</v>
      </c>
      <c r="T59" s="61">
        <f>T43/P43-1</f>
        <v>-5.8823529411764719E-2</v>
      </c>
      <c r="U59" s="61">
        <f t="shared" ref="U59" si="188">U43/Q43-1</f>
        <v>0.10000000000000009</v>
      </c>
      <c r="V59" s="61">
        <f t="shared" ref="V59" si="189">V43/R43-1</f>
        <v>0.45454545454545459</v>
      </c>
      <c r="W59" s="61">
        <f t="shared" ref="W59" si="190">W43/S43-1</f>
        <v>-0.42307692307692313</v>
      </c>
      <c r="X59" s="61">
        <f t="shared" ref="X59" si="191">X43/T43-1</f>
        <v>0.46875</v>
      </c>
      <c r="Y59" s="61">
        <f t="shared" ref="Y59" si="192">Y43/U43-1</f>
        <v>0.30303030303030298</v>
      </c>
      <c r="Z59" s="61">
        <f t="shared" ref="Z59" si="193">Z43/V43-1</f>
        <v>-7.4999999999999956E-2</v>
      </c>
      <c r="AA59" s="61">
        <f t="shared" ref="AA59" si="194">AA43/W43-1</f>
        <v>0.66666666666666674</v>
      </c>
      <c r="AB59" s="61">
        <f t="shared" ref="AB59:AC59" si="195">AB43/X43-1</f>
        <v>0</v>
      </c>
      <c r="AC59" s="61">
        <f t="shared" si="195"/>
        <v>0.37209302325581395</v>
      </c>
      <c r="AE59" s="62" t="s">
        <v>186</v>
      </c>
      <c r="AF59" s="61">
        <f t="shared" ref="AF59" si="196">AF43/AE43-1</f>
        <v>6.25E-2</v>
      </c>
      <c r="AG59" s="61">
        <f t="shared" ref="AG59" si="197">AG43/AF43-1</f>
        <v>1.8099547511312153E-2</v>
      </c>
      <c r="AH59" s="61">
        <f t="shared" ref="AH59" si="198">AH43/AG43-1</f>
        <v>-6.6666666666666652E-2</v>
      </c>
      <c r="AI59" s="61">
        <f t="shared" ref="AI59" si="199">AI43/AH43-1</f>
        <v>-0.15238095238095239</v>
      </c>
      <c r="AJ59" s="61">
        <f t="shared" ref="AJ59:AK59" si="200">AJ43/AI43-1</f>
        <v>0.11235955056179781</v>
      </c>
      <c r="AK59" s="61">
        <f t="shared" si="200"/>
        <v>-0.34343434343434343</v>
      </c>
      <c r="AL59" s="61">
        <f>AL43/AK43-1</f>
        <v>8.4615384615384537E-2</v>
      </c>
      <c r="AM59" s="61">
        <f t="shared" ref="AM59" si="201">AM43/AL43-1</f>
        <v>0.2127659574468086</v>
      </c>
      <c r="AN59" s="61">
        <f t="shared" ref="AN59" si="202">AN43/AM43-1</f>
        <v>4.6783625730994149E-2</v>
      </c>
    </row>
    <row r="60" spans="2:40" s="36" customFormat="1">
      <c r="B60" s="27" t="s">
        <v>203</v>
      </c>
      <c r="C60" s="62" t="s">
        <v>186</v>
      </c>
      <c r="D60" s="60">
        <f t="shared" ref="D60" si="203">D43/C43-1</f>
        <v>0.91999999999999993</v>
      </c>
      <c r="E60" s="60">
        <f t="shared" ref="E60" si="204">E43/D43-1</f>
        <v>-0.1875</v>
      </c>
      <c r="F60" s="60">
        <f t="shared" ref="F60:S60" si="205">F43/E43-1</f>
        <v>0.76923076923076916</v>
      </c>
      <c r="G60" s="60">
        <f t="shared" si="205"/>
        <v>-0.6811594202898551</v>
      </c>
      <c r="H60" s="60">
        <f t="shared" si="205"/>
        <v>1.3181818181818183</v>
      </c>
      <c r="I60" s="60">
        <f t="shared" si="205"/>
        <v>-0.13725490196078427</v>
      </c>
      <c r="J60" s="60">
        <f t="shared" si="205"/>
        <v>0.84090909090909083</v>
      </c>
      <c r="K60" s="60">
        <f t="shared" si="205"/>
        <v>-0.8271604938271605</v>
      </c>
      <c r="L60" s="60">
        <f t="shared" si="205"/>
        <v>0.21428571428571419</v>
      </c>
      <c r="M60" s="60">
        <f t="shared" si="205"/>
        <v>1.8235294117647061</v>
      </c>
      <c r="N60" s="60">
        <f t="shared" si="205"/>
        <v>0.47916666666666674</v>
      </c>
      <c r="O60" s="60">
        <f t="shared" si="205"/>
        <v>-0.6901408450704225</v>
      </c>
      <c r="P60" s="60">
        <f t="shared" si="205"/>
        <v>0.54545454545454541</v>
      </c>
      <c r="Q60" s="60">
        <f t="shared" si="205"/>
        <v>-0.11764705882352944</v>
      </c>
      <c r="R60" s="60">
        <f t="shared" si="205"/>
        <v>0.83333333333333326</v>
      </c>
      <c r="S60" s="60">
        <f t="shared" si="205"/>
        <v>-0.52727272727272734</v>
      </c>
      <c r="T60" s="60">
        <f>T43/S43-1</f>
        <v>0.23076923076923084</v>
      </c>
      <c r="U60" s="60">
        <f t="shared" ref="U60" si="206">U43/T43-1</f>
        <v>3.125E-2</v>
      </c>
      <c r="V60" s="60">
        <f t="shared" ref="V60" si="207">V43/U43-1</f>
        <v>1.4242424242424243</v>
      </c>
      <c r="W60" s="60">
        <f t="shared" ref="W60" si="208">W43/V43-1</f>
        <v>-0.8125</v>
      </c>
      <c r="X60" s="60">
        <f t="shared" ref="X60" si="209">X43/W43-1</f>
        <v>2.1333333333333333</v>
      </c>
      <c r="Y60" s="60">
        <f t="shared" ref="Y60" si="210">Y43/X43-1</f>
        <v>-8.5106382978723416E-2</v>
      </c>
      <c r="Z60" s="60">
        <f t="shared" ref="Z60" si="211">Z43/Y43-1</f>
        <v>0.72093023255813948</v>
      </c>
      <c r="AA60" s="60">
        <f t="shared" ref="AA60" si="212">AA43/Z43-1</f>
        <v>-0.66216216216216217</v>
      </c>
      <c r="AB60" s="60">
        <f t="shared" ref="AB60:AC60" si="213">AB43/AA43-1</f>
        <v>0.87999999999999989</v>
      </c>
      <c r="AC60" s="60">
        <f t="shared" si="213"/>
        <v>0.25531914893617014</v>
      </c>
      <c r="AE60" s="62" t="s">
        <v>186</v>
      </c>
      <c r="AF60" s="62" t="s">
        <v>186</v>
      </c>
      <c r="AG60" s="62" t="s">
        <v>186</v>
      </c>
      <c r="AH60" s="62" t="s">
        <v>186</v>
      </c>
      <c r="AI60" s="62" t="s">
        <v>186</v>
      </c>
      <c r="AJ60" s="62" t="s">
        <v>186</v>
      </c>
      <c r="AK60" s="62" t="s">
        <v>186</v>
      </c>
      <c r="AL60" s="62" t="s">
        <v>186</v>
      </c>
      <c r="AM60" s="62" t="s">
        <v>186</v>
      </c>
      <c r="AN60" s="62" t="s">
        <v>186</v>
      </c>
    </row>
    <row r="62" spans="2:40">
      <c r="B62" s="30" t="s">
        <v>74</v>
      </c>
    </row>
    <row r="63" spans="2:40" s="2" customFormat="1">
      <c r="B63" s="2" t="s">
        <v>6</v>
      </c>
      <c r="C63" s="25">
        <v>1287.5</v>
      </c>
      <c r="D63" s="25">
        <v>1132.5999999999999</v>
      </c>
      <c r="E63" s="25">
        <v>1648.8</v>
      </c>
      <c r="F63" s="25">
        <v>1280.9000000000001</v>
      </c>
      <c r="G63" s="25">
        <v>777.5</v>
      </c>
      <c r="H63" s="25">
        <v>855.5</v>
      </c>
      <c r="I63" s="25">
        <v>1156.4000000000001</v>
      </c>
      <c r="J63" s="25">
        <v>2307.6999999999998</v>
      </c>
      <c r="K63" s="25">
        <v>2394.4</v>
      </c>
      <c r="L63" s="25">
        <v>1872.8</v>
      </c>
      <c r="M63" s="25">
        <v>1596.8</v>
      </c>
      <c r="N63" s="25">
        <v>1883.1</v>
      </c>
      <c r="O63" s="25">
        <v>1123.2</v>
      </c>
      <c r="P63" s="25">
        <v>1351.2</v>
      </c>
      <c r="Q63" s="25">
        <v>1596.8</v>
      </c>
      <c r="R63" s="25">
        <v>1818.3</v>
      </c>
      <c r="S63" s="25">
        <v>1129.8</v>
      </c>
      <c r="T63" s="25">
        <v>1041.3</v>
      </c>
      <c r="U63" s="25">
        <v>1305.0999999999999</v>
      </c>
      <c r="V63" s="25">
        <v>1816.9</v>
      </c>
      <c r="W63" s="25">
        <v>1156.4000000000001</v>
      </c>
      <c r="X63" s="25">
        <v>1356.8</v>
      </c>
      <c r="Y63" s="25">
        <v>1030.5</v>
      </c>
      <c r="Z63" s="25">
        <v>1629.2</v>
      </c>
      <c r="AA63" s="25">
        <v>919.7</v>
      </c>
      <c r="AB63" s="25">
        <v>721.1</v>
      </c>
      <c r="AC63" s="25">
        <v>831.5</v>
      </c>
      <c r="AE63" s="25">
        <v>1713</v>
      </c>
      <c r="AF63" s="25">
        <v>2165.5</v>
      </c>
      <c r="AG63" s="25">
        <v>1241.5</v>
      </c>
      <c r="AH63" s="25">
        <v>1270.8</v>
      </c>
      <c r="AI63" s="25">
        <f t="shared" ref="AI63:AI74" si="214">F63</f>
        <v>1280.9000000000001</v>
      </c>
      <c r="AJ63" s="25">
        <f t="shared" ref="AJ63:AJ74" si="215">J63</f>
        <v>2307.6999999999998</v>
      </c>
      <c r="AK63" s="25">
        <f t="shared" ref="AK63:AK74" si="216">N63</f>
        <v>1883.1</v>
      </c>
      <c r="AL63" s="25">
        <f t="shared" ref="AL63:AL74" si="217">R63</f>
        <v>1818.3</v>
      </c>
      <c r="AM63" s="25">
        <f t="shared" ref="AM63:AM74" si="218">V63</f>
        <v>1816.9</v>
      </c>
      <c r="AN63" s="25">
        <f>+Z63</f>
        <v>1629.2</v>
      </c>
    </row>
    <row r="64" spans="2:40" s="2" customFormat="1">
      <c r="B64" s="2" t="s">
        <v>90</v>
      </c>
      <c r="C64" s="25">
        <v>1890.2</v>
      </c>
      <c r="D64" s="25">
        <v>1956.5</v>
      </c>
      <c r="E64" s="25">
        <v>1241.9000000000001</v>
      </c>
      <c r="F64" s="25">
        <v>1743.4</v>
      </c>
      <c r="G64" s="25">
        <v>1644.2</v>
      </c>
      <c r="H64" s="25">
        <v>1561.7</v>
      </c>
      <c r="I64" s="25">
        <v>957.4</v>
      </c>
      <c r="J64" s="25">
        <v>410.9</v>
      </c>
      <c r="K64" s="25">
        <v>60.1</v>
      </c>
      <c r="L64" s="25">
        <v>125.7</v>
      </c>
      <c r="M64" s="25">
        <v>855.3</v>
      </c>
      <c r="N64" s="25">
        <v>817.5</v>
      </c>
      <c r="O64" s="25">
        <v>1288.4000000000001</v>
      </c>
      <c r="P64" s="25">
        <v>1092.8</v>
      </c>
      <c r="Q64" s="25">
        <v>855.3</v>
      </c>
      <c r="R64" s="25">
        <v>750.8</v>
      </c>
      <c r="S64" s="25">
        <v>802.9</v>
      </c>
      <c r="T64" s="25">
        <v>753.8</v>
      </c>
      <c r="U64" s="25">
        <v>382.6</v>
      </c>
      <c r="V64" s="25">
        <v>494.4</v>
      </c>
      <c r="W64" s="25">
        <v>874</v>
      </c>
      <c r="X64" s="25">
        <v>768.4</v>
      </c>
      <c r="Y64" s="25">
        <v>551.70000000000005</v>
      </c>
      <c r="Z64" s="25">
        <v>521.70000000000005</v>
      </c>
      <c r="AA64" s="25">
        <v>555.5</v>
      </c>
      <c r="AB64" s="25">
        <v>491.3</v>
      </c>
      <c r="AC64" s="25">
        <v>643.5</v>
      </c>
      <c r="AE64" s="25">
        <v>710.6</v>
      </c>
      <c r="AF64" s="25">
        <v>622.6</v>
      </c>
      <c r="AG64" s="25">
        <v>1775.5</v>
      </c>
      <c r="AH64" s="25">
        <v>2365.6</v>
      </c>
      <c r="AI64" s="25">
        <f t="shared" si="214"/>
        <v>1743.4</v>
      </c>
      <c r="AJ64" s="25">
        <f t="shared" si="215"/>
        <v>410.9</v>
      </c>
      <c r="AK64" s="25">
        <f t="shared" si="216"/>
        <v>817.5</v>
      </c>
      <c r="AL64" s="25">
        <f t="shared" si="217"/>
        <v>750.8</v>
      </c>
      <c r="AM64" s="25">
        <f t="shared" si="218"/>
        <v>494.4</v>
      </c>
      <c r="AN64" s="25">
        <f>+Z64</f>
        <v>521.70000000000005</v>
      </c>
    </row>
    <row r="65" spans="2:40">
      <c r="B65" s="3" t="s">
        <v>91</v>
      </c>
      <c r="C65" s="11">
        <v>898.4</v>
      </c>
      <c r="D65" s="11">
        <v>918.9</v>
      </c>
      <c r="E65" s="11">
        <v>899.7</v>
      </c>
      <c r="F65" s="11">
        <v>318</v>
      </c>
      <c r="G65" s="11">
        <v>324.5</v>
      </c>
      <c r="H65" s="11">
        <v>329.4</v>
      </c>
      <c r="I65" s="11">
        <v>335.1</v>
      </c>
      <c r="J65" s="11">
        <v>294.2</v>
      </c>
      <c r="K65" s="11">
        <v>272.39999999999998</v>
      </c>
      <c r="L65" s="11">
        <v>230.9</v>
      </c>
      <c r="M65" s="11">
        <v>203.1</v>
      </c>
      <c r="N65" s="11">
        <v>203.4</v>
      </c>
      <c r="O65" s="11">
        <v>190.2</v>
      </c>
      <c r="P65" s="11">
        <v>198.8</v>
      </c>
      <c r="Q65" s="11">
        <v>203.1</v>
      </c>
      <c r="R65" s="11">
        <v>189</v>
      </c>
      <c r="S65" s="11">
        <v>197</v>
      </c>
      <c r="T65" s="11">
        <v>240.4</v>
      </c>
      <c r="U65" s="11">
        <v>257.2</v>
      </c>
      <c r="V65" s="11">
        <v>202.9</v>
      </c>
      <c r="W65" s="11">
        <v>197</v>
      </c>
      <c r="X65" s="11">
        <v>208.8</v>
      </c>
      <c r="Y65" s="11">
        <v>263.5</v>
      </c>
      <c r="Z65" s="11">
        <v>217.6</v>
      </c>
      <c r="AA65" s="11">
        <v>212.9</v>
      </c>
      <c r="AB65" s="11">
        <v>222.5</v>
      </c>
      <c r="AC65" s="11">
        <v>253.9</v>
      </c>
      <c r="AE65" s="11">
        <v>696.9</v>
      </c>
      <c r="AF65" s="11">
        <v>781.9</v>
      </c>
      <c r="AG65" s="11">
        <v>665.4</v>
      </c>
      <c r="AH65" s="11">
        <v>717.1</v>
      </c>
      <c r="AI65" s="11">
        <f t="shared" si="214"/>
        <v>318</v>
      </c>
      <c r="AJ65" s="11">
        <f t="shared" si="215"/>
        <v>294.2</v>
      </c>
      <c r="AK65" s="11">
        <f t="shared" si="216"/>
        <v>203.4</v>
      </c>
      <c r="AL65" s="11">
        <f t="shared" si="217"/>
        <v>189</v>
      </c>
      <c r="AM65" s="11">
        <f t="shared" si="218"/>
        <v>202.9</v>
      </c>
      <c r="AN65" s="11">
        <f>+Z65</f>
        <v>217.6</v>
      </c>
    </row>
    <row r="66" spans="2:40">
      <c r="B66" s="3" t="s">
        <v>92</v>
      </c>
      <c r="C66" s="11">
        <v>23.8</v>
      </c>
      <c r="D66" s="11">
        <v>10.9</v>
      </c>
      <c r="E66" s="11">
        <v>7.6</v>
      </c>
      <c r="F66" s="11">
        <v>5.4</v>
      </c>
      <c r="G66" s="11">
        <v>4</v>
      </c>
      <c r="H66" s="11">
        <v>5.2</v>
      </c>
      <c r="I66" s="11">
        <v>3.2</v>
      </c>
      <c r="J66" s="11">
        <v>1.4</v>
      </c>
      <c r="K66" s="11">
        <v>0.7</v>
      </c>
      <c r="L66" s="11">
        <v>1</v>
      </c>
      <c r="M66" s="11">
        <v>0.5</v>
      </c>
      <c r="N66" s="11">
        <v>8.3000000000000007</v>
      </c>
      <c r="O66" s="11">
        <v>1.6</v>
      </c>
      <c r="P66" s="11">
        <v>4.3</v>
      </c>
      <c r="Q66" s="11">
        <v>0.5</v>
      </c>
      <c r="R66" s="11">
        <v>0.1</v>
      </c>
      <c r="S66" s="11">
        <v>9.6999999999999993</v>
      </c>
      <c r="T66" s="11">
        <v>2.5</v>
      </c>
      <c r="U66" s="11">
        <v>2.8</v>
      </c>
      <c r="V66" s="11">
        <v>5.4</v>
      </c>
      <c r="W66" s="11">
        <v>13.4</v>
      </c>
      <c r="X66" s="11">
        <v>14.9</v>
      </c>
      <c r="Y66" s="11">
        <v>4.7</v>
      </c>
      <c r="Z66" s="11">
        <v>17.5</v>
      </c>
      <c r="AA66" s="11">
        <v>53.9</v>
      </c>
      <c r="AB66" s="11">
        <v>52.9</v>
      </c>
      <c r="AC66" s="11">
        <v>105.6</v>
      </c>
      <c r="AE66" s="11">
        <v>5.2</v>
      </c>
      <c r="AF66" s="11">
        <v>5.2</v>
      </c>
      <c r="AG66" s="11">
        <v>21</v>
      </c>
      <c r="AH66" s="11">
        <v>29.5</v>
      </c>
      <c r="AI66" s="11">
        <f t="shared" si="214"/>
        <v>5.4</v>
      </c>
      <c r="AJ66" s="11">
        <f t="shared" si="215"/>
        <v>1.4</v>
      </c>
      <c r="AK66" s="11">
        <f t="shared" si="216"/>
        <v>8.3000000000000007</v>
      </c>
      <c r="AL66" s="11">
        <f t="shared" si="217"/>
        <v>0.1</v>
      </c>
      <c r="AM66" s="11">
        <f t="shared" si="218"/>
        <v>5.4</v>
      </c>
      <c r="AN66" s="11">
        <f t="shared" ref="AN66:AN69" si="219">+Z66</f>
        <v>17.5</v>
      </c>
    </row>
    <row r="67" spans="2:40">
      <c r="B67" s="3" t="s">
        <v>93</v>
      </c>
      <c r="C67" s="11">
        <v>2</v>
      </c>
      <c r="D67" s="11">
        <v>1.9</v>
      </c>
      <c r="E67" s="11">
        <v>1.8</v>
      </c>
      <c r="F67" s="11">
        <v>1.2</v>
      </c>
      <c r="G67" s="11">
        <v>1.3</v>
      </c>
      <c r="H67" s="11">
        <v>1.3</v>
      </c>
      <c r="I67" s="11">
        <v>1.3</v>
      </c>
      <c r="J67" s="11">
        <v>1.5</v>
      </c>
      <c r="K67" s="11">
        <v>1.1000000000000001</v>
      </c>
      <c r="L67" s="11">
        <v>1</v>
      </c>
      <c r="M67" s="11">
        <v>7.9</v>
      </c>
      <c r="N67" s="11">
        <v>8.5</v>
      </c>
      <c r="O67" s="11">
        <v>6.6</v>
      </c>
      <c r="P67" s="11">
        <v>7.4</v>
      </c>
      <c r="Q67" s="11">
        <v>7.9</v>
      </c>
      <c r="R67" s="11">
        <v>9.6</v>
      </c>
      <c r="S67" s="11">
        <v>9.8000000000000007</v>
      </c>
      <c r="T67" s="11">
        <v>5.8</v>
      </c>
      <c r="U67" s="11">
        <v>9.9</v>
      </c>
      <c r="V67" s="11">
        <v>50.8</v>
      </c>
      <c r="W67" s="11">
        <v>50.7</v>
      </c>
      <c r="X67" s="11">
        <v>9.5</v>
      </c>
      <c r="Y67" s="11">
        <v>6.4</v>
      </c>
      <c r="Z67" s="11">
        <v>8.4</v>
      </c>
      <c r="AA67" s="11">
        <v>12.9</v>
      </c>
      <c r="AB67" s="11">
        <v>12.5</v>
      </c>
      <c r="AC67" s="11">
        <v>13.8</v>
      </c>
      <c r="AE67" s="11">
        <v>13.6</v>
      </c>
      <c r="AF67" s="11">
        <v>10.8</v>
      </c>
      <c r="AG67" s="11">
        <v>8.5</v>
      </c>
      <c r="AH67" s="11">
        <v>2.1</v>
      </c>
      <c r="AI67" s="11">
        <f t="shared" si="214"/>
        <v>1.2</v>
      </c>
      <c r="AJ67" s="11">
        <f t="shared" si="215"/>
        <v>1.5</v>
      </c>
      <c r="AK67" s="11">
        <f t="shared" si="216"/>
        <v>8.5</v>
      </c>
      <c r="AL67" s="11">
        <f t="shared" si="217"/>
        <v>9.6</v>
      </c>
      <c r="AM67" s="11">
        <f t="shared" si="218"/>
        <v>50.8</v>
      </c>
      <c r="AN67" s="11">
        <f t="shared" si="219"/>
        <v>8.4</v>
      </c>
    </row>
    <row r="68" spans="2:40">
      <c r="B68" s="3" t="s">
        <v>189</v>
      </c>
      <c r="C68" s="11">
        <v>195.2</v>
      </c>
      <c r="D68" s="11">
        <v>204.9</v>
      </c>
      <c r="E68" s="11">
        <v>162.1</v>
      </c>
      <c r="F68" s="11">
        <v>218.5</v>
      </c>
      <c r="G68" s="11">
        <v>194</v>
      </c>
      <c r="H68" s="11">
        <v>141.6</v>
      </c>
      <c r="I68" s="11">
        <v>71.8</v>
      </c>
      <c r="J68" s="11">
        <v>4</v>
      </c>
      <c r="K68" s="11">
        <v>4</v>
      </c>
      <c r="L68" s="11">
        <v>4.0999999999999996</v>
      </c>
      <c r="M68" s="11">
        <v>0</v>
      </c>
      <c r="N68" s="11">
        <v>0</v>
      </c>
      <c r="O68" s="11">
        <v>4.2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E68" s="11">
        <v>9</v>
      </c>
      <c r="AF68" s="11">
        <v>91.4</v>
      </c>
      <c r="AG68" s="11">
        <v>142.80000000000001</v>
      </c>
      <c r="AH68" s="11">
        <v>185.6</v>
      </c>
      <c r="AI68" s="11">
        <f t="shared" si="214"/>
        <v>218.5</v>
      </c>
      <c r="AJ68" s="11">
        <f t="shared" si="215"/>
        <v>4</v>
      </c>
      <c r="AK68" s="11">
        <f t="shared" si="216"/>
        <v>0</v>
      </c>
      <c r="AL68" s="11">
        <f t="shared" si="217"/>
        <v>0</v>
      </c>
      <c r="AM68" s="11">
        <f t="shared" si="218"/>
        <v>0</v>
      </c>
      <c r="AN68" s="11">
        <f t="shared" si="219"/>
        <v>0</v>
      </c>
    </row>
    <row r="69" spans="2:40">
      <c r="B69" s="3" t="s">
        <v>94</v>
      </c>
      <c r="C69" s="11">
        <v>0</v>
      </c>
      <c r="D69" s="11">
        <v>0</v>
      </c>
      <c r="E69" s="11">
        <v>0</v>
      </c>
      <c r="F69" s="11">
        <v>358</v>
      </c>
      <c r="G69" s="11">
        <v>450.8</v>
      </c>
      <c r="H69" s="11">
        <v>488.1</v>
      </c>
      <c r="I69" s="11">
        <v>556.20000000000005</v>
      </c>
      <c r="J69" s="11">
        <v>495.7</v>
      </c>
      <c r="K69" s="11">
        <v>469.5</v>
      </c>
      <c r="L69" s="11">
        <v>402.8</v>
      </c>
      <c r="M69" s="11">
        <v>618.79999999999995</v>
      </c>
      <c r="N69" s="11">
        <v>461.8</v>
      </c>
      <c r="O69" s="11">
        <v>517.1</v>
      </c>
      <c r="P69" s="11">
        <v>630.70000000000005</v>
      </c>
      <c r="Q69" s="11">
        <v>618.79999999999995</v>
      </c>
      <c r="R69" s="11">
        <v>582.29999999999995</v>
      </c>
      <c r="S69" s="11">
        <v>615.5</v>
      </c>
      <c r="T69" s="11">
        <v>620</v>
      </c>
      <c r="U69" s="11">
        <v>632.20000000000005</v>
      </c>
      <c r="V69" s="11">
        <v>505.4</v>
      </c>
      <c r="W69" s="11">
        <v>566.4</v>
      </c>
      <c r="X69" s="11">
        <v>583.5</v>
      </c>
      <c r="Y69" s="11">
        <v>569</v>
      </c>
      <c r="Z69" s="11">
        <v>509.1</v>
      </c>
      <c r="AA69" s="11">
        <v>542.1</v>
      </c>
      <c r="AB69" s="11">
        <v>623.20000000000005</v>
      </c>
      <c r="AC69" s="11">
        <v>743.8</v>
      </c>
      <c r="AE69" s="11">
        <v>0</v>
      </c>
      <c r="AF69" s="11">
        <v>0</v>
      </c>
      <c r="AG69" s="11">
        <v>0</v>
      </c>
      <c r="AH69" s="11">
        <v>0</v>
      </c>
      <c r="AI69" s="11">
        <f t="shared" si="214"/>
        <v>358</v>
      </c>
      <c r="AJ69" s="11">
        <f t="shared" si="215"/>
        <v>495.7</v>
      </c>
      <c r="AK69" s="11">
        <f t="shared" si="216"/>
        <v>461.8</v>
      </c>
      <c r="AL69" s="11">
        <f t="shared" si="217"/>
        <v>582.29999999999995</v>
      </c>
      <c r="AM69" s="11">
        <f t="shared" si="218"/>
        <v>505.4</v>
      </c>
      <c r="AN69" s="11">
        <f t="shared" si="219"/>
        <v>509.1</v>
      </c>
    </row>
    <row r="70" spans="2:40" s="2" customFormat="1">
      <c r="B70" s="2" t="s">
        <v>95</v>
      </c>
      <c r="C70" s="25">
        <v>2480.4</v>
      </c>
      <c r="D70" s="25">
        <v>2535</v>
      </c>
      <c r="E70" s="25">
        <v>2790.8</v>
      </c>
      <c r="F70" s="25">
        <v>2507</v>
      </c>
      <c r="G70" s="25">
        <v>2994.2</v>
      </c>
      <c r="H70" s="25">
        <v>3004.3</v>
      </c>
      <c r="I70" s="25">
        <v>3082.7</v>
      </c>
      <c r="J70" s="25">
        <v>2384</v>
      </c>
      <c r="K70" s="25">
        <v>2925.3</v>
      </c>
      <c r="L70" s="25">
        <v>3128.8</v>
      </c>
      <c r="M70" s="25">
        <v>2305</v>
      </c>
      <c r="N70" s="25">
        <v>2437.9</v>
      </c>
      <c r="O70" s="25">
        <v>2483.3000000000002</v>
      </c>
      <c r="P70" s="25">
        <v>2315</v>
      </c>
      <c r="Q70" s="25">
        <v>2305</v>
      </c>
      <c r="R70" s="25">
        <v>1986</v>
      </c>
      <c r="S70" s="25">
        <v>2222.8000000000002</v>
      </c>
      <c r="T70" s="25">
        <v>2392.9</v>
      </c>
      <c r="U70" s="25">
        <v>2678.6</v>
      </c>
      <c r="V70" s="25">
        <v>2329</v>
      </c>
      <c r="W70" s="25">
        <v>2803.4</v>
      </c>
      <c r="X70" s="25">
        <v>2888.9</v>
      </c>
      <c r="Y70" s="25">
        <v>3053.1</v>
      </c>
      <c r="Z70" s="25">
        <v>2636</v>
      </c>
      <c r="AA70" s="25">
        <v>3120.7</v>
      </c>
      <c r="AB70" s="25">
        <v>3245.9</v>
      </c>
      <c r="AC70" s="25">
        <v>3340.4</v>
      </c>
      <c r="AE70" s="25">
        <v>2405.3000000000002</v>
      </c>
      <c r="AF70" s="25">
        <v>2314.6</v>
      </c>
      <c r="AG70" s="25">
        <v>2496.4</v>
      </c>
      <c r="AH70" s="25">
        <v>2148.6999999999998</v>
      </c>
      <c r="AI70" s="25">
        <f t="shared" si="214"/>
        <v>2507</v>
      </c>
      <c r="AJ70" s="25">
        <f t="shared" si="215"/>
        <v>2384</v>
      </c>
      <c r="AK70" s="25">
        <f t="shared" si="216"/>
        <v>2437.9</v>
      </c>
      <c r="AL70" s="25">
        <f t="shared" si="217"/>
        <v>1986</v>
      </c>
      <c r="AM70" s="25">
        <f t="shared" si="218"/>
        <v>2329</v>
      </c>
      <c r="AN70" s="25">
        <f>+Z70</f>
        <v>2636</v>
      </c>
    </row>
    <row r="71" spans="2:40">
      <c r="B71" s="3" t="s">
        <v>63</v>
      </c>
      <c r="C71" s="11">
        <v>101.5</v>
      </c>
      <c r="D71" s="11">
        <v>104.4</v>
      </c>
      <c r="E71" s="11">
        <v>100.3</v>
      </c>
      <c r="F71" s="11">
        <v>95.3</v>
      </c>
      <c r="G71" s="11">
        <v>84.7</v>
      </c>
      <c r="H71" s="11">
        <v>88.7</v>
      </c>
      <c r="I71" s="11">
        <v>89.8</v>
      </c>
      <c r="J71" s="11">
        <v>92.6</v>
      </c>
      <c r="K71" s="11">
        <v>96.9</v>
      </c>
      <c r="L71" s="11">
        <v>95.1</v>
      </c>
      <c r="M71" s="11">
        <v>128.19999999999999</v>
      </c>
      <c r="N71" s="11">
        <v>114.1</v>
      </c>
      <c r="O71" s="11">
        <v>108.8</v>
      </c>
      <c r="P71" s="11">
        <v>134.69999999999999</v>
      </c>
      <c r="Q71" s="11">
        <v>128.19999999999999</v>
      </c>
      <c r="R71" s="11">
        <v>114.5</v>
      </c>
      <c r="S71" s="11">
        <v>105</v>
      </c>
      <c r="T71" s="11">
        <v>101.9</v>
      </c>
      <c r="U71" s="11">
        <v>105.2</v>
      </c>
      <c r="V71" s="11">
        <v>105.5</v>
      </c>
      <c r="W71" s="11">
        <v>113.4</v>
      </c>
      <c r="X71" s="11">
        <v>169.4</v>
      </c>
      <c r="Y71" s="11">
        <v>179.2</v>
      </c>
      <c r="Z71" s="11">
        <v>203</v>
      </c>
      <c r="AA71" s="11">
        <v>211.4</v>
      </c>
      <c r="AB71" s="11">
        <v>220.9</v>
      </c>
      <c r="AC71" s="11">
        <v>138.30000000000001</v>
      </c>
      <c r="AE71" s="11">
        <v>89.2</v>
      </c>
      <c r="AF71" s="11">
        <v>130.19999999999999</v>
      </c>
      <c r="AG71" s="11">
        <v>80.7</v>
      </c>
      <c r="AH71" s="11">
        <v>76.900000000000006</v>
      </c>
      <c r="AI71" s="11">
        <f t="shared" si="214"/>
        <v>95.3</v>
      </c>
      <c r="AJ71" s="11">
        <f t="shared" si="215"/>
        <v>92.6</v>
      </c>
      <c r="AK71" s="11">
        <f t="shared" si="216"/>
        <v>114.1</v>
      </c>
      <c r="AL71" s="11">
        <f t="shared" si="217"/>
        <v>114.5</v>
      </c>
      <c r="AM71" s="11">
        <f t="shared" si="218"/>
        <v>105.5</v>
      </c>
      <c r="AN71" s="11">
        <f t="shared" ref="AN71:AN74" si="220">+Z71</f>
        <v>203</v>
      </c>
    </row>
    <row r="72" spans="2:40">
      <c r="B72" s="3" t="s">
        <v>182</v>
      </c>
      <c r="C72" s="11">
        <v>0</v>
      </c>
      <c r="D72" s="11">
        <v>0</v>
      </c>
      <c r="E72" s="11">
        <v>0</v>
      </c>
      <c r="F72" s="11">
        <v>339.9</v>
      </c>
      <c r="G72" s="11">
        <v>330</v>
      </c>
      <c r="H72" s="11">
        <v>306.39999999999998</v>
      </c>
      <c r="I72" s="11">
        <v>273.39999999999998</v>
      </c>
      <c r="J72" s="11">
        <v>0.2</v>
      </c>
      <c r="K72" s="11">
        <v>0.2</v>
      </c>
      <c r="L72" s="11">
        <v>0.2</v>
      </c>
      <c r="M72" s="11">
        <v>101.9</v>
      </c>
      <c r="N72" s="11">
        <v>0.2</v>
      </c>
      <c r="O72" s="11">
        <v>0.2</v>
      </c>
      <c r="P72" s="11">
        <v>0.2</v>
      </c>
      <c r="Q72" s="11">
        <v>101.9</v>
      </c>
      <c r="R72" s="3">
        <v>0.6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f t="shared" si="214"/>
        <v>339.9</v>
      </c>
      <c r="AJ72" s="11">
        <f t="shared" si="215"/>
        <v>0.2</v>
      </c>
      <c r="AK72" s="11">
        <f t="shared" si="216"/>
        <v>0.2</v>
      </c>
      <c r="AL72" s="11">
        <f t="shared" si="217"/>
        <v>0.6</v>
      </c>
      <c r="AM72" s="11">
        <f t="shared" si="218"/>
        <v>0</v>
      </c>
      <c r="AN72" s="11">
        <f t="shared" si="220"/>
        <v>0</v>
      </c>
    </row>
    <row r="73" spans="2:40">
      <c r="B73" s="3" t="s">
        <v>96</v>
      </c>
      <c r="C73" s="11">
        <v>273.2</v>
      </c>
      <c r="D73" s="11">
        <v>226.6</v>
      </c>
      <c r="E73" s="11">
        <v>214.9</v>
      </c>
      <c r="F73" s="11">
        <v>203.5</v>
      </c>
      <c r="G73" s="11">
        <v>195.1</v>
      </c>
      <c r="H73" s="11">
        <v>227</v>
      </c>
      <c r="I73" s="11">
        <v>209.9</v>
      </c>
      <c r="J73" s="11">
        <v>199.4</v>
      </c>
      <c r="K73" s="11">
        <v>217.6</v>
      </c>
      <c r="L73" s="11">
        <v>219</v>
      </c>
      <c r="M73" s="11">
        <v>202.3</v>
      </c>
      <c r="N73" s="11">
        <v>180.9</v>
      </c>
      <c r="O73" s="11">
        <v>179.4</v>
      </c>
      <c r="P73" s="11">
        <v>194.2</v>
      </c>
      <c r="Q73" s="11">
        <v>202.3</v>
      </c>
      <c r="R73" s="3">
        <v>193.7</v>
      </c>
      <c r="S73" s="11">
        <v>217</v>
      </c>
      <c r="T73" s="11">
        <v>209.3</v>
      </c>
      <c r="U73" s="11">
        <v>208</v>
      </c>
      <c r="V73" s="11">
        <v>246.3</v>
      </c>
      <c r="W73" s="11">
        <v>250.4</v>
      </c>
      <c r="X73" s="11">
        <v>232.3</v>
      </c>
      <c r="Y73" s="11">
        <v>233.8</v>
      </c>
      <c r="Z73" s="11">
        <v>312.89999999999998</v>
      </c>
      <c r="AA73" s="11">
        <v>233.8</v>
      </c>
      <c r="AB73" s="11">
        <v>234.5</v>
      </c>
      <c r="AC73" s="11">
        <v>410.2</v>
      </c>
      <c r="AE73" s="11">
        <v>167.9</v>
      </c>
      <c r="AF73" s="11">
        <v>289.39999999999998</v>
      </c>
      <c r="AG73" s="11">
        <v>349.9</v>
      </c>
      <c r="AH73" s="11">
        <v>255.4</v>
      </c>
      <c r="AI73" s="11">
        <f t="shared" si="214"/>
        <v>203.5</v>
      </c>
      <c r="AJ73" s="11">
        <f t="shared" si="215"/>
        <v>199.4</v>
      </c>
      <c r="AK73" s="11">
        <f t="shared" si="216"/>
        <v>180.9</v>
      </c>
      <c r="AL73" s="11">
        <f t="shared" si="217"/>
        <v>193.7</v>
      </c>
      <c r="AM73" s="11">
        <f t="shared" si="218"/>
        <v>246.3</v>
      </c>
      <c r="AN73" s="11">
        <f t="shared" si="220"/>
        <v>312.89999999999998</v>
      </c>
    </row>
    <row r="74" spans="2:40">
      <c r="B74" s="3" t="s">
        <v>97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3">
        <v>230.9</v>
      </c>
      <c r="S74" s="11">
        <v>227.1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6.6</v>
      </c>
      <c r="Z74" s="11">
        <v>0</v>
      </c>
      <c r="AA74" s="11">
        <v>0</v>
      </c>
      <c r="AB74" s="11">
        <v>0</v>
      </c>
      <c r="AC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f t="shared" si="214"/>
        <v>0</v>
      </c>
      <c r="AJ74" s="11">
        <f t="shared" si="215"/>
        <v>0</v>
      </c>
      <c r="AK74" s="11">
        <f t="shared" si="216"/>
        <v>0</v>
      </c>
      <c r="AL74" s="11">
        <f t="shared" si="217"/>
        <v>230.9</v>
      </c>
      <c r="AM74" s="11">
        <f t="shared" si="218"/>
        <v>0</v>
      </c>
      <c r="AN74" s="11">
        <f t="shared" si="220"/>
        <v>0</v>
      </c>
    </row>
    <row r="75" spans="2:40">
      <c r="B75" s="3" t="s">
        <v>104</v>
      </c>
      <c r="C75" s="11">
        <f t="shared" ref="C75:AC75" si="221">SUM(C63:C74)</f>
        <v>7152.2</v>
      </c>
      <c r="D75" s="11">
        <f t="shared" si="221"/>
        <v>7091.7</v>
      </c>
      <c r="E75" s="11">
        <f t="shared" si="221"/>
        <v>7067.9</v>
      </c>
      <c r="F75" s="11">
        <f t="shared" si="221"/>
        <v>7071.0999999999995</v>
      </c>
      <c r="G75" s="11">
        <f t="shared" si="221"/>
        <v>7000.3</v>
      </c>
      <c r="H75" s="11">
        <f t="shared" si="221"/>
        <v>7009.2</v>
      </c>
      <c r="I75" s="11">
        <f t="shared" si="221"/>
        <v>6737.2</v>
      </c>
      <c r="J75" s="11">
        <f t="shared" si="221"/>
        <v>6191.5999999999995</v>
      </c>
      <c r="K75" s="11">
        <f t="shared" si="221"/>
        <v>6442.2</v>
      </c>
      <c r="L75" s="11">
        <f t="shared" si="221"/>
        <v>6081.4000000000005</v>
      </c>
      <c r="M75" s="11">
        <f t="shared" si="221"/>
        <v>6019.7999999999993</v>
      </c>
      <c r="N75" s="11">
        <f t="shared" si="221"/>
        <v>6115.7</v>
      </c>
      <c r="O75" s="11">
        <f t="shared" si="221"/>
        <v>5903</v>
      </c>
      <c r="P75" s="11">
        <f t="shared" si="221"/>
        <v>5929.3</v>
      </c>
      <c r="Q75" s="11">
        <f t="shared" si="221"/>
        <v>6019.7999999999993</v>
      </c>
      <c r="R75" s="11">
        <f t="shared" si="221"/>
        <v>5875.7999999999993</v>
      </c>
      <c r="S75" s="11">
        <f t="shared" si="221"/>
        <v>5536.6</v>
      </c>
      <c r="T75" s="11">
        <f t="shared" si="221"/>
        <v>5367.9000000000005</v>
      </c>
      <c r="U75" s="11">
        <f t="shared" si="221"/>
        <v>5581.5999999999995</v>
      </c>
      <c r="V75" s="11">
        <f t="shared" si="221"/>
        <v>5756.6000000000013</v>
      </c>
      <c r="W75" s="11">
        <f t="shared" si="221"/>
        <v>6025.0999999999995</v>
      </c>
      <c r="X75" s="11">
        <f t="shared" si="221"/>
        <v>6232.5</v>
      </c>
      <c r="Y75" s="11">
        <f t="shared" si="221"/>
        <v>5898.5</v>
      </c>
      <c r="Z75" s="11">
        <f t="shared" si="221"/>
        <v>6055.4</v>
      </c>
      <c r="AA75" s="11">
        <f t="shared" si="221"/>
        <v>5862.9000000000005</v>
      </c>
      <c r="AB75" s="11">
        <f t="shared" si="221"/>
        <v>5824.7999999999993</v>
      </c>
      <c r="AC75" s="11">
        <f t="shared" si="221"/>
        <v>6481</v>
      </c>
      <c r="AE75" s="11">
        <f t="shared" ref="AE75:AH75" si="222">SUM(AE63:AE74)</f>
        <v>5810.7</v>
      </c>
      <c r="AF75" s="11">
        <f t="shared" si="222"/>
        <v>6411.5999999999995</v>
      </c>
      <c r="AG75" s="11">
        <f t="shared" si="222"/>
        <v>6781.7</v>
      </c>
      <c r="AH75" s="11">
        <f t="shared" si="222"/>
        <v>7051.7</v>
      </c>
      <c r="AI75" s="11">
        <f t="shared" ref="AI75:AJ75" si="223">SUM(AI63:AI74)</f>
        <v>7071.0999999999995</v>
      </c>
      <c r="AJ75" s="11">
        <f t="shared" si="223"/>
        <v>6191.5999999999995</v>
      </c>
      <c r="AK75" s="11">
        <f>SUM(AK63:AK74)</f>
        <v>6115.7</v>
      </c>
      <c r="AL75" s="11">
        <f>SUM(AL63:AL74)</f>
        <v>5875.7999999999993</v>
      </c>
      <c r="AM75" s="11">
        <f>SUM(AM63:AM74)</f>
        <v>5756.6000000000013</v>
      </c>
      <c r="AN75" s="11">
        <f t="shared" ref="AN75" si="224">SUM(AN63:AN74)</f>
        <v>6055.4</v>
      </c>
    </row>
    <row r="76" spans="2:40" s="2" customFormat="1">
      <c r="B76" s="2" t="s">
        <v>90</v>
      </c>
      <c r="C76" s="25">
        <v>250.7</v>
      </c>
      <c r="D76" s="25">
        <v>252</v>
      </c>
      <c r="E76" s="25">
        <v>251.4</v>
      </c>
      <c r="F76" s="25">
        <v>183.5</v>
      </c>
      <c r="G76" s="25">
        <v>61.7</v>
      </c>
      <c r="H76" s="25">
        <v>61.6</v>
      </c>
      <c r="I76" s="25">
        <v>61.6</v>
      </c>
      <c r="J76" s="25">
        <v>61.3</v>
      </c>
      <c r="K76" s="25">
        <v>46.1</v>
      </c>
      <c r="L76" s="25">
        <v>0</v>
      </c>
      <c r="M76" s="25">
        <v>51.6</v>
      </c>
      <c r="N76" s="25">
        <v>51.7</v>
      </c>
      <c r="O76" s="25">
        <v>51.7</v>
      </c>
      <c r="P76" s="25">
        <v>47.3</v>
      </c>
      <c r="Q76" s="25">
        <v>51.6</v>
      </c>
      <c r="R76" s="25">
        <v>65.599999999999994</v>
      </c>
      <c r="S76" s="25">
        <v>169.9</v>
      </c>
      <c r="T76" s="25">
        <v>169.9</v>
      </c>
      <c r="U76" s="25">
        <v>170</v>
      </c>
      <c r="V76" s="25">
        <v>170</v>
      </c>
      <c r="W76" s="25">
        <v>170</v>
      </c>
      <c r="X76" s="25">
        <v>170</v>
      </c>
      <c r="Y76" s="25">
        <v>170</v>
      </c>
      <c r="Z76" s="25">
        <v>170</v>
      </c>
      <c r="AA76" s="25">
        <v>283.2</v>
      </c>
      <c r="AB76" s="25">
        <v>293.60000000000002</v>
      </c>
      <c r="AC76" s="25">
        <v>296.39999999999998</v>
      </c>
      <c r="AE76" s="25">
        <v>45.8</v>
      </c>
      <c r="AF76" s="25">
        <v>749.6</v>
      </c>
      <c r="AG76" s="25">
        <v>168.2</v>
      </c>
      <c r="AH76" s="25">
        <v>251.3</v>
      </c>
      <c r="AI76" s="25">
        <f t="shared" ref="AI76:AI89" si="225">F76</f>
        <v>183.5</v>
      </c>
      <c r="AJ76" s="25">
        <f t="shared" ref="AJ76:AJ88" si="226">J76</f>
        <v>61.3</v>
      </c>
      <c r="AK76" s="25">
        <f t="shared" ref="AK76:AK88" si="227">N76</f>
        <v>51.7</v>
      </c>
      <c r="AL76" s="25">
        <f t="shared" ref="AL76:AL88" si="228">R76</f>
        <v>65.599999999999994</v>
      </c>
      <c r="AM76" s="25">
        <f t="shared" ref="AM76:AM88" si="229">V76</f>
        <v>170</v>
      </c>
      <c r="AN76" s="25">
        <f>+Z76</f>
        <v>170</v>
      </c>
    </row>
    <row r="77" spans="2:40">
      <c r="B77" s="3" t="s">
        <v>94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0.1</v>
      </c>
      <c r="Q77" s="11">
        <v>0</v>
      </c>
      <c r="R77" s="11">
        <v>0</v>
      </c>
      <c r="S77" s="11">
        <v>1.6</v>
      </c>
      <c r="T77" s="11">
        <v>1.5</v>
      </c>
      <c r="U77" s="11">
        <v>2.9</v>
      </c>
      <c r="V77" s="11">
        <v>0.7</v>
      </c>
      <c r="W77" s="11">
        <v>3.4</v>
      </c>
      <c r="X77" s="11">
        <v>3.4</v>
      </c>
      <c r="Y77" s="11">
        <v>3.3</v>
      </c>
      <c r="Z77" s="11">
        <v>2.4</v>
      </c>
      <c r="AA77" s="11">
        <v>2.2999999999999998</v>
      </c>
      <c r="AB77" s="11">
        <v>2.6</v>
      </c>
      <c r="AC77" s="11">
        <v>2.2000000000000002</v>
      </c>
      <c r="AE77" s="11">
        <v>0</v>
      </c>
      <c r="AF77" s="11">
        <v>0</v>
      </c>
      <c r="AG77" s="11">
        <v>0</v>
      </c>
      <c r="AH77" s="11">
        <v>0</v>
      </c>
      <c r="AI77" s="11">
        <f t="shared" si="225"/>
        <v>0</v>
      </c>
      <c r="AJ77" s="11">
        <f t="shared" si="226"/>
        <v>0</v>
      </c>
      <c r="AK77" s="11">
        <f t="shared" si="227"/>
        <v>0</v>
      </c>
      <c r="AL77" s="11">
        <f t="shared" si="228"/>
        <v>0</v>
      </c>
      <c r="AM77" s="11">
        <f t="shared" si="229"/>
        <v>0.7</v>
      </c>
      <c r="AN77" s="11">
        <f>+Z77</f>
        <v>2.4</v>
      </c>
    </row>
    <row r="78" spans="2:40" s="2" customFormat="1">
      <c r="B78" s="2" t="s">
        <v>92</v>
      </c>
      <c r="C78" s="25">
        <v>7.4</v>
      </c>
      <c r="D78" s="25">
        <v>5.4</v>
      </c>
      <c r="E78" s="25">
        <v>5.5</v>
      </c>
      <c r="F78" s="25">
        <v>4.0999999999999996</v>
      </c>
      <c r="G78" s="25">
        <v>2.1</v>
      </c>
      <c r="H78" s="25">
        <v>2.1</v>
      </c>
      <c r="I78" s="25">
        <v>1.8</v>
      </c>
      <c r="J78" s="25">
        <v>0.7</v>
      </c>
      <c r="K78" s="25">
        <v>0.5</v>
      </c>
      <c r="L78" s="25">
        <v>0.4</v>
      </c>
      <c r="M78" s="25">
        <v>0</v>
      </c>
      <c r="N78" s="25">
        <v>1.3</v>
      </c>
      <c r="O78" s="25">
        <v>0.1</v>
      </c>
      <c r="P78" s="25">
        <v>23</v>
      </c>
      <c r="Q78" s="25">
        <v>0</v>
      </c>
      <c r="R78" s="25">
        <v>0</v>
      </c>
      <c r="S78" s="25">
        <v>1.6</v>
      </c>
      <c r="T78" s="25">
        <v>3.2</v>
      </c>
      <c r="U78" s="25">
        <v>5.4</v>
      </c>
      <c r="V78" s="25">
        <v>5.7</v>
      </c>
      <c r="W78" s="25">
        <v>0.7</v>
      </c>
      <c r="X78" s="25">
        <v>1.8</v>
      </c>
      <c r="Y78" s="25">
        <v>0</v>
      </c>
      <c r="Z78" s="25">
        <v>0</v>
      </c>
      <c r="AA78" s="25">
        <v>0.1</v>
      </c>
      <c r="AB78" s="25">
        <v>1.1000000000000001</v>
      </c>
      <c r="AC78" s="25">
        <v>0.6</v>
      </c>
      <c r="AE78" s="25">
        <v>12.7</v>
      </c>
      <c r="AF78" s="25">
        <v>9.1999999999999993</v>
      </c>
      <c r="AG78" s="25">
        <v>11.1</v>
      </c>
      <c r="AH78" s="25">
        <v>4.8</v>
      </c>
      <c r="AI78" s="25">
        <f t="shared" si="225"/>
        <v>4.0999999999999996</v>
      </c>
      <c r="AJ78" s="25">
        <f t="shared" si="226"/>
        <v>0.7</v>
      </c>
      <c r="AK78" s="25">
        <f t="shared" si="227"/>
        <v>1.3</v>
      </c>
      <c r="AL78" s="25">
        <f t="shared" si="228"/>
        <v>0</v>
      </c>
      <c r="AM78" s="25">
        <f t="shared" si="229"/>
        <v>5.7</v>
      </c>
      <c r="AN78" s="25">
        <f>+Z78</f>
        <v>0</v>
      </c>
    </row>
    <row r="79" spans="2:40">
      <c r="B79" s="3" t="s">
        <v>189</v>
      </c>
      <c r="C79" s="11">
        <v>88.6</v>
      </c>
      <c r="D79" s="11">
        <v>73</v>
      </c>
      <c r="E79" s="11">
        <v>89</v>
      </c>
      <c r="F79" s="11">
        <v>17.399999999999999</v>
      </c>
      <c r="G79" s="11">
        <v>16.100000000000001</v>
      </c>
      <c r="H79" s="11">
        <v>15.5</v>
      </c>
      <c r="I79" s="11">
        <v>14.3</v>
      </c>
      <c r="J79" s="11">
        <v>13.6</v>
      </c>
      <c r="K79" s="11">
        <v>12.4</v>
      </c>
      <c r="L79" s="11">
        <v>11.7</v>
      </c>
      <c r="M79" s="11">
        <v>0</v>
      </c>
      <c r="N79" s="11">
        <v>0</v>
      </c>
      <c r="O79" s="11">
        <v>8.4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E79" s="11">
        <v>416.6</v>
      </c>
      <c r="AF79" s="11">
        <v>316.60000000000002</v>
      </c>
      <c r="AG79" s="11">
        <v>180.5</v>
      </c>
      <c r="AH79" s="11">
        <v>103.1</v>
      </c>
      <c r="AI79" s="11">
        <f t="shared" si="225"/>
        <v>17.399999999999999</v>
      </c>
      <c r="AJ79" s="11">
        <f t="shared" si="226"/>
        <v>13.6</v>
      </c>
      <c r="AK79" s="11">
        <f t="shared" si="227"/>
        <v>0</v>
      </c>
      <c r="AL79" s="11">
        <f t="shared" si="228"/>
        <v>0</v>
      </c>
      <c r="AM79" s="11">
        <f t="shared" si="229"/>
        <v>0</v>
      </c>
      <c r="AN79" s="11">
        <f t="shared" ref="AN79:AN88" si="230">+Z79</f>
        <v>0</v>
      </c>
    </row>
    <row r="80" spans="2:40">
      <c r="B80" s="3" t="s">
        <v>182</v>
      </c>
      <c r="C80" s="11">
        <v>396.9</v>
      </c>
      <c r="D80" s="11">
        <v>386.9</v>
      </c>
      <c r="E80" s="11">
        <v>373.1</v>
      </c>
      <c r="F80" s="11">
        <v>9.8000000000000007</v>
      </c>
      <c r="G80" s="11">
        <v>9.6</v>
      </c>
      <c r="H80" s="11">
        <v>9.9</v>
      </c>
      <c r="I80" s="11">
        <v>9</v>
      </c>
      <c r="J80" s="11">
        <v>0.8</v>
      </c>
      <c r="K80" s="11">
        <v>0.9</v>
      </c>
      <c r="L80" s="11">
        <v>1.2</v>
      </c>
      <c r="M80" s="11">
        <v>2.4</v>
      </c>
      <c r="N80" s="11">
        <v>1.5</v>
      </c>
      <c r="O80" s="11">
        <v>16.600000000000001</v>
      </c>
      <c r="P80" s="11">
        <v>0</v>
      </c>
      <c r="Q80" s="11">
        <v>2.4</v>
      </c>
      <c r="R80" s="11">
        <v>2.4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E80" s="11">
        <v>582</v>
      </c>
      <c r="AF80" s="11">
        <v>577.29999999999995</v>
      </c>
      <c r="AG80" s="11">
        <v>511.4</v>
      </c>
      <c r="AH80" s="11">
        <v>393.8</v>
      </c>
      <c r="AI80" s="11">
        <f t="shared" si="225"/>
        <v>9.8000000000000007</v>
      </c>
      <c r="AJ80" s="11">
        <f t="shared" si="226"/>
        <v>0.8</v>
      </c>
      <c r="AK80" s="11">
        <f t="shared" si="227"/>
        <v>1.5</v>
      </c>
      <c r="AL80" s="11">
        <f t="shared" si="228"/>
        <v>2.4</v>
      </c>
      <c r="AM80" s="11">
        <f t="shared" si="229"/>
        <v>0</v>
      </c>
      <c r="AN80" s="11">
        <f t="shared" si="230"/>
        <v>0</v>
      </c>
    </row>
    <row r="81" spans="2:40">
      <c r="B81" s="3" t="s">
        <v>93</v>
      </c>
      <c r="C81" s="11">
        <v>13.9</v>
      </c>
      <c r="D81" s="11">
        <v>13.4</v>
      </c>
      <c r="E81" s="11">
        <v>13</v>
      </c>
      <c r="F81" s="11">
        <v>10.5</v>
      </c>
      <c r="G81" s="11">
        <v>10.199999999999999</v>
      </c>
      <c r="H81" s="11">
        <v>9.9</v>
      </c>
      <c r="I81" s="11">
        <v>9.6</v>
      </c>
      <c r="J81" s="11">
        <v>9.1999999999999993</v>
      </c>
      <c r="K81" s="11">
        <v>6.8</v>
      </c>
      <c r="L81" s="11">
        <v>6.6</v>
      </c>
      <c r="M81" s="11">
        <v>25.4</v>
      </c>
      <c r="N81" s="11">
        <v>21.4</v>
      </c>
      <c r="O81" s="11">
        <v>21.5</v>
      </c>
      <c r="P81" s="11">
        <v>42.1</v>
      </c>
      <c r="Q81" s="11">
        <v>25.4</v>
      </c>
      <c r="R81" s="11">
        <v>22.4</v>
      </c>
      <c r="S81" s="11">
        <v>23.4</v>
      </c>
      <c r="T81" s="11">
        <v>14.5</v>
      </c>
      <c r="U81" s="11">
        <v>29.2</v>
      </c>
      <c r="V81" s="11">
        <v>50.4</v>
      </c>
      <c r="W81" s="11">
        <v>55.5</v>
      </c>
      <c r="X81" s="11">
        <v>68.3</v>
      </c>
      <c r="Y81" s="11">
        <v>34.6</v>
      </c>
      <c r="Z81" s="11">
        <v>54.4</v>
      </c>
      <c r="AA81" s="11">
        <v>49.2</v>
      </c>
      <c r="AB81" s="11">
        <v>34.4</v>
      </c>
      <c r="AC81" s="11">
        <v>28.2</v>
      </c>
      <c r="AE81" s="11">
        <v>55</v>
      </c>
      <c r="AF81" s="11">
        <v>45.4</v>
      </c>
      <c r="AG81" s="11">
        <v>28.9</v>
      </c>
      <c r="AH81" s="11">
        <v>14.3</v>
      </c>
      <c r="AI81" s="11">
        <f t="shared" si="225"/>
        <v>10.5</v>
      </c>
      <c r="AJ81" s="11">
        <f t="shared" si="226"/>
        <v>9.1999999999999993</v>
      </c>
      <c r="AK81" s="11">
        <f t="shared" si="227"/>
        <v>21.4</v>
      </c>
      <c r="AL81" s="11">
        <f t="shared" si="228"/>
        <v>22.4</v>
      </c>
      <c r="AM81" s="11">
        <f t="shared" si="229"/>
        <v>50.4</v>
      </c>
      <c r="AN81" s="11">
        <f t="shared" si="230"/>
        <v>54.4</v>
      </c>
    </row>
    <row r="82" spans="2:40">
      <c r="B82" s="3" t="s">
        <v>91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0.9</v>
      </c>
      <c r="U82" s="11">
        <v>0.9</v>
      </c>
      <c r="V82" s="11">
        <v>2.2999999999999998</v>
      </c>
      <c r="W82" s="11">
        <v>2.8</v>
      </c>
      <c r="X82" s="11">
        <v>2.9</v>
      </c>
      <c r="Y82" s="11">
        <v>2.8</v>
      </c>
      <c r="Z82" s="11">
        <v>3.4</v>
      </c>
      <c r="AA82" s="11">
        <v>2</v>
      </c>
      <c r="AB82" s="11">
        <v>1.4</v>
      </c>
      <c r="AC82" s="11">
        <v>1.5</v>
      </c>
      <c r="AE82" s="11">
        <v>6.9</v>
      </c>
      <c r="AF82" s="11">
        <v>1.5</v>
      </c>
      <c r="AG82" s="11">
        <v>0</v>
      </c>
      <c r="AH82" s="11">
        <v>0</v>
      </c>
      <c r="AI82" s="11">
        <f t="shared" si="225"/>
        <v>0</v>
      </c>
      <c r="AJ82" s="11">
        <f t="shared" si="226"/>
        <v>0</v>
      </c>
      <c r="AK82" s="11">
        <f t="shared" si="227"/>
        <v>0</v>
      </c>
      <c r="AL82" s="11">
        <f t="shared" si="228"/>
        <v>0</v>
      </c>
      <c r="AM82" s="11">
        <f t="shared" si="229"/>
        <v>2.2999999999999998</v>
      </c>
      <c r="AN82" s="11">
        <f t="shared" si="230"/>
        <v>3.4</v>
      </c>
    </row>
    <row r="83" spans="2:40">
      <c r="B83" s="3" t="s">
        <v>99</v>
      </c>
      <c r="C83" s="11">
        <v>4.9000000000000004</v>
      </c>
      <c r="D83" s="11">
        <v>4.7</v>
      </c>
      <c r="E83" s="11">
        <v>4.5</v>
      </c>
      <c r="F83" s="11">
        <v>21.6</v>
      </c>
      <c r="G83" s="11">
        <v>22.1</v>
      </c>
      <c r="H83" s="11">
        <v>22.4</v>
      </c>
      <c r="I83" s="11">
        <v>21.8</v>
      </c>
      <c r="J83" s="11">
        <v>35</v>
      </c>
      <c r="K83" s="11">
        <v>93.6</v>
      </c>
      <c r="L83" s="11">
        <v>160.30000000000001</v>
      </c>
      <c r="M83" s="11">
        <v>77</v>
      </c>
      <c r="N83" s="11">
        <v>104.6</v>
      </c>
      <c r="O83" s="11">
        <v>124.4</v>
      </c>
      <c r="P83" s="11">
        <v>99.9</v>
      </c>
      <c r="Q83" s="11">
        <v>77</v>
      </c>
      <c r="R83" s="11">
        <v>97.6</v>
      </c>
      <c r="S83" s="11">
        <v>22.8</v>
      </c>
      <c r="T83" s="11">
        <v>23.3</v>
      </c>
      <c r="U83" s="11">
        <v>22.8</v>
      </c>
      <c r="V83" s="11">
        <v>48.1</v>
      </c>
      <c r="W83" s="11">
        <v>49.7</v>
      </c>
      <c r="X83" s="11">
        <v>49.8</v>
      </c>
      <c r="Y83" s="11">
        <v>49.8</v>
      </c>
      <c r="Z83" s="11">
        <v>137.69999999999999</v>
      </c>
      <c r="AA83" s="11">
        <v>126.6</v>
      </c>
      <c r="AB83" s="11">
        <v>131.5</v>
      </c>
      <c r="AC83" s="11">
        <v>132.5</v>
      </c>
      <c r="AE83" s="11">
        <v>8.1</v>
      </c>
      <c r="AF83" s="11">
        <v>4.5</v>
      </c>
      <c r="AG83" s="11">
        <v>3.4</v>
      </c>
      <c r="AH83" s="11">
        <v>2.8</v>
      </c>
      <c r="AI83" s="11">
        <f t="shared" si="225"/>
        <v>21.6</v>
      </c>
      <c r="AJ83" s="11">
        <f t="shared" si="226"/>
        <v>35</v>
      </c>
      <c r="AK83" s="11">
        <f t="shared" si="227"/>
        <v>104.6</v>
      </c>
      <c r="AL83" s="11">
        <f t="shared" si="228"/>
        <v>97.6</v>
      </c>
      <c r="AM83" s="11">
        <f t="shared" si="229"/>
        <v>48.1</v>
      </c>
      <c r="AN83" s="11">
        <f t="shared" si="230"/>
        <v>137.69999999999999</v>
      </c>
    </row>
    <row r="84" spans="2:40">
      <c r="B84" s="3" t="s">
        <v>96</v>
      </c>
      <c r="C84" s="11">
        <v>121.2</v>
      </c>
      <c r="D84" s="11">
        <v>119.9</v>
      </c>
      <c r="E84" s="11">
        <v>104.2</v>
      </c>
      <c r="F84" s="11">
        <v>105.6</v>
      </c>
      <c r="G84" s="11">
        <v>100.9</v>
      </c>
      <c r="H84" s="11">
        <v>97</v>
      </c>
      <c r="I84" s="11">
        <v>93.1</v>
      </c>
      <c r="J84" s="11">
        <v>93.9</v>
      </c>
      <c r="K84" s="11">
        <v>76</v>
      </c>
      <c r="L84" s="11">
        <v>77.2</v>
      </c>
      <c r="M84" s="11">
        <v>121.2</v>
      </c>
      <c r="N84" s="11">
        <v>120.7</v>
      </c>
      <c r="O84" s="11">
        <v>103.9</v>
      </c>
      <c r="P84" s="11">
        <v>126.9</v>
      </c>
      <c r="Q84" s="11">
        <v>121.2</v>
      </c>
      <c r="R84" s="11">
        <v>125.6</v>
      </c>
      <c r="S84" s="11">
        <v>142.9</v>
      </c>
      <c r="T84" s="11">
        <v>165</v>
      </c>
      <c r="U84" s="11">
        <v>162.1</v>
      </c>
      <c r="V84" s="11">
        <v>135.19999999999999</v>
      </c>
      <c r="W84" s="11">
        <v>145.69999999999999</v>
      </c>
      <c r="X84" s="11">
        <v>155.80000000000001</v>
      </c>
      <c r="Y84" s="11">
        <v>150.4</v>
      </c>
      <c r="Z84" s="11">
        <v>141.30000000000001</v>
      </c>
      <c r="AA84" s="11">
        <v>135.5</v>
      </c>
      <c r="AB84" s="11">
        <v>163.19999999999999</v>
      </c>
      <c r="AC84" s="11">
        <v>205.9</v>
      </c>
      <c r="AE84" s="11">
        <v>186.1</v>
      </c>
      <c r="AF84" s="11">
        <v>119.8</v>
      </c>
      <c r="AG84" s="11">
        <v>156.69999999999999</v>
      </c>
      <c r="AH84" s="11">
        <v>121.5</v>
      </c>
      <c r="AI84" s="11">
        <f t="shared" si="225"/>
        <v>105.6</v>
      </c>
      <c r="AJ84" s="11">
        <f t="shared" si="226"/>
        <v>93.9</v>
      </c>
      <c r="AK84" s="11">
        <f t="shared" si="227"/>
        <v>120.7</v>
      </c>
      <c r="AL84" s="11">
        <f t="shared" si="228"/>
        <v>125.6</v>
      </c>
      <c r="AM84" s="11">
        <f t="shared" si="229"/>
        <v>135.19999999999999</v>
      </c>
      <c r="AN84" s="11">
        <f t="shared" si="230"/>
        <v>141.30000000000001</v>
      </c>
    </row>
    <row r="85" spans="2:40">
      <c r="B85" s="3" t="s">
        <v>100</v>
      </c>
      <c r="C85" s="11">
        <v>6.2</v>
      </c>
      <c r="D85" s="11">
        <v>6.4</v>
      </c>
      <c r="E85" s="11">
        <v>6.1</v>
      </c>
      <c r="F85" s="11">
        <v>6.3</v>
      </c>
      <c r="G85" s="11">
        <v>8.1</v>
      </c>
      <c r="H85" s="11">
        <v>8.4</v>
      </c>
      <c r="I85" s="11">
        <v>8</v>
      </c>
      <c r="J85" s="11">
        <v>8.1</v>
      </c>
      <c r="K85" s="11">
        <v>8.4</v>
      </c>
      <c r="L85" s="11">
        <v>8.8000000000000007</v>
      </c>
      <c r="M85" s="11">
        <v>6.6</v>
      </c>
      <c r="N85" s="11">
        <v>5.2</v>
      </c>
      <c r="O85" s="11">
        <v>5.4</v>
      </c>
      <c r="P85" s="11">
        <v>6.1</v>
      </c>
      <c r="Q85" s="11">
        <v>6.6</v>
      </c>
      <c r="R85" s="11">
        <v>4.4000000000000004</v>
      </c>
      <c r="S85" s="11">
        <v>6.9</v>
      </c>
      <c r="T85" s="11">
        <v>9.3000000000000007</v>
      </c>
      <c r="U85" s="11">
        <v>10.9</v>
      </c>
      <c r="V85" s="11">
        <v>12.3</v>
      </c>
      <c r="W85" s="11">
        <v>11.2</v>
      </c>
      <c r="X85" s="11">
        <v>13.9</v>
      </c>
      <c r="Y85" s="11">
        <v>19.8</v>
      </c>
      <c r="Z85" s="11">
        <v>28.2</v>
      </c>
      <c r="AA85" s="11">
        <v>53.2</v>
      </c>
      <c r="AB85" s="11">
        <v>47.5</v>
      </c>
      <c r="AC85" s="11">
        <v>46.1</v>
      </c>
      <c r="AE85" s="11">
        <v>0.4</v>
      </c>
      <c r="AF85" s="11">
        <v>1.2</v>
      </c>
      <c r="AG85" s="11">
        <v>3.9</v>
      </c>
      <c r="AH85" s="11">
        <v>5.6</v>
      </c>
      <c r="AI85" s="11">
        <f t="shared" si="225"/>
        <v>6.3</v>
      </c>
      <c r="AJ85" s="11">
        <f t="shared" si="226"/>
        <v>8.1</v>
      </c>
      <c r="AK85" s="11">
        <f t="shared" si="227"/>
        <v>5.2</v>
      </c>
      <c r="AL85" s="11">
        <f t="shared" si="228"/>
        <v>4.4000000000000004</v>
      </c>
      <c r="AM85" s="11">
        <f t="shared" si="229"/>
        <v>12.3</v>
      </c>
      <c r="AN85" s="11">
        <f t="shared" si="230"/>
        <v>28.2</v>
      </c>
    </row>
    <row r="86" spans="2:40">
      <c r="B86" s="3" t="s">
        <v>101</v>
      </c>
      <c r="C86" s="11">
        <v>2075.1999999999998</v>
      </c>
      <c r="D86" s="11">
        <v>2004.1</v>
      </c>
      <c r="E86" s="11">
        <v>1985</v>
      </c>
      <c r="F86" s="11">
        <v>1964.7</v>
      </c>
      <c r="G86" s="11">
        <v>1948.2</v>
      </c>
      <c r="H86" s="11">
        <v>1989.6</v>
      </c>
      <c r="I86" s="11">
        <v>2017.1</v>
      </c>
      <c r="J86" s="11">
        <v>2058.6</v>
      </c>
      <c r="K86" s="11">
        <v>2035.5</v>
      </c>
      <c r="L86" s="11">
        <v>1943.7</v>
      </c>
      <c r="M86" s="11">
        <v>1902</v>
      </c>
      <c r="N86" s="11">
        <v>1956</v>
      </c>
      <c r="O86" s="11">
        <v>1934.3</v>
      </c>
      <c r="P86" s="11">
        <v>1913.1</v>
      </c>
      <c r="Q86" s="11">
        <v>1902</v>
      </c>
      <c r="R86" s="11">
        <v>1687.6</v>
      </c>
      <c r="S86" s="11">
        <v>1679.3</v>
      </c>
      <c r="T86" s="11">
        <v>1652.5</v>
      </c>
      <c r="U86" s="11">
        <v>1645.4</v>
      </c>
      <c r="V86" s="11">
        <v>1649.2</v>
      </c>
      <c r="W86" s="11">
        <v>1668.6</v>
      </c>
      <c r="X86" s="11">
        <v>1680.1</v>
      </c>
      <c r="Y86" s="11">
        <v>1709.2</v>
      </c>
      <c r="Z86" s="11">
        <v>1770.7</v>
      </c>
      <c r="AA86" s="11">
        <v>1790.8</v>
      </c>
      <c r="AB86" s="11">
        <v>1852</v>
      </c>
      <c r="AC86" s="11">
        <v>1905.1</v>
      </c>
      <c r="AE86" s="11">
        <v>2025.8</v>
      </c>
      <c r="AF86" s="11">
        <v>2027.4</v>
      </c>
      <c r="AG86" s="11">
        <v>2154.1999999999998</v>
      </c>
      <c r="AH86" s="11">
        <v>2104.9</v>
      </c>
      <c r="AI86" s="11">
        <f t="shared" si="225"/>
        <v>1964.7</v>
      </c>
      <c r="AJ86" s="11">
        <f t="shared" si="226"/>
        <v>2058.6</v>
      </c>
      <c r="AK86" s="11">
        <f t="shared" si="227"/>
        <v>1956</v>
      </c>
      <c r="AL86" s="11">
        <f t="shared" si="228"/>
        <v>1687.6</v>
      </c>
      <c r="AM86" s="11">
        <f t="shared" si="229"/>
        <v>1649.2</v>
      </c>
      <c r="AN86" s="11">
        <f t="shared" si="230"/>
        <v>1770.7</v>
      </c>
    </row>
    <row r="87" spans="2:40">
      <c r="B87" s="3" t="s">
        <v>102</v>
      </c>
      <c r="C87" s="11">
        <v>1877.9</v>
      </c>
      <c r="D87" s="11">
        <v>1853.6</v>
      </c>
      <c r="E87" s="11">
        <v>1894.8</v>
      </c>
      <c r="F87" s="11">
        <v>1898.8</v>
      </c>
      <c r="G87" s="11">
        <v>1950.7</v>
      </c>
      <c r="H87" s="11">
        <v>1998.5</v>
      </c>
      <c r="I87" s="11">
        <v>2042.1</v>
      </c>
      <c r="J87" s="11">
        <v>2051.6999999999998</v>
      </c>
      <c r="K87" s="11">
        <v>2070.1</v>
      </c>
      <c r="L87" s="11">
        <v>1972.4</v>
      </c>
      <c r="M87" s="11">
        <v>2115.9</v>
      </c>
      <c r="N87" s="11">
        <v>2075.6</v>
      </c>
      <c r="O87" s="11">
        <v>2079.3000000000002</v>
      </c>
      <c r="P87" s="11">
        <v>2097.6999999999998</v>
      </c>
      <c r="Q87" s="11">
        <v>2115.9</v>
      </c>
      <c r="R87" s="11">
        <v>2213.4</v>
      </c>
      <c r="S87" s="11">
        <v>2227.5</v>
      </c>
      <c r="T87" s="11">
        <v>2231.3000000000002</v>
      </c>
      <c r="U87" s="11">
        <v>2241</v>
      </c>
      <c r="V87" s="11">
        <v>2246.5</v>
      </c>
      <c r="W87" s="11">
        <v>2260</v>
      </c>
      <c r="X87" s="11">
        <v>2283.6999999999998</v>
      </c>
      <c r="Y87" s="11">
        <v>2304.1</v>
      </c>
      <c r="Z87" s="11">
        <v>2331</v>
      </c>
      <c r="AA87" s="11">
        <v>2381.5</v>
      </c>
      <c r="AB87" s="11">
        <v>2432.3000000000002</v>
      </c>
      <c r="AC87" s="11">
        <v>2466.9</v>
      </c>
      <c r="AE87" s="11">
        <v>1260.9000000000001</v>
      </c>
      <c r="AF87" s="11">
        <v>1405.4</v>
      </c>
      <c r="AG87" s="11">
        <v>1664.6</v>
      </c>
      <c r="AH87" s="11">
        <v>1882.4</v>
      </c>
      <c r="AI87" s="11">
        <f t="shared" si="225"/>
        <v>1898.8</v>
      </c>
      <c r="AJ87" s="11">
        <f t="shared" si="226"/>
        <v>2051.6999999999998</v>
      </c>
      <c r="AK87" s="11">
        <f t="shared" si="227"/>
        <v>2075.6</v>
      </c>
      <c r="AL87" s="11">
        <f t="shared" si="228"/>
        <v>2213.4</v>
      </c>
      <c r="AM87" s="11">
        <f t="shared" si="229"/>
        <v>2246.5</v>
      </c>
      <c r="AN87" s="11">
        <f t="shared" si="230"/>
        <v>2331</v>
      </c>
    </row>
    <row r="88" spans="2:40">
      <c r="B88" s="3" t="s">
        <v>103</v>
      </c>
      <c r="C88" s="11">
        <v>0</v>
      </c>
      <c r="D88" s="11">
        <v>0</v>
      </c>
      <c r="E88" s="11">
        <v>0</v>
      </c>
      <c r="F88" s="11">
        <v>0</v>
      </c>
      <c r="G88" s="11">
        <v>55.6</v>
      </c>
      <c r="H88" s="11">
        <v>49.3</v>
      </c>
      <c r="I88" s="11">
        <v>46.9</v>
      </c>
      <c r="J88" s="11">
        <v>48</v>
      </c>
      <c r="K88" s="11">
        <v>63.6</v>
      </c>
      <c r="L88" s="11">
        <v>61.7</v>
      </c>
      <c r="M88" s="11">
        <v>60.8</v>
      </c>
      <c r="N88" s="11">
        <v>62.3</v>
      </c>
      <c r="O88" s="11">
        <v>59.5</v>
      </c>
      <c r="P88" s="11">
        <v>55.8</v>
      </c>
      <c r="Q88" s="11">
        <v>60.8</v>
      </c>
      <c r="R88" s="11">
        <v>60.2</v>
      </c>
      <c r="S88" s="11">
        <v>55.9</v>
      </c>
      <c r="T88" s="11">
        <v>59.5</v>
      </c>
      <c r="U88" s="11">
        <v>60.2</v>
      </c>
      <c r="V88" s="11">
        <v>65.099999999999994</v>
      </c>
      <c r="W88" s="11">
        <v>65</v>
      </c>
      <c r="X88" s="11">
        <v>66.5</v>
      </c>
      <c r="Y88" s="11">
        <v>71.099999999999994</v>
      </c>
      <c r="Z88" s="11">
        <v>88</v>
      </c>
      <c r="AA88" s="11">
        <v>86.4</v>
      </c>
      <c r="AB88" s="11">
        <v>91.7</v>
      </c>
      <c r="AC88" s="11">
        <v>104.9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225"/>
        <v>0</v>
      </c>
      <c r="AJ88" s="11">
        <f t="shared" si="226"/>
        <v>48</v>
      </c>
      <c r="AK88" s="11">
        <f t="shared" si="227"/>
        <v>62.3</v>
      </c>
      <c r="AL88" s="11">
        <f t="shared" si="228"/>
        <v>60.2</v>
      </c>
      <c r="AM88" s="11">
        <f t="shared" si="229"/>
        <v>65.099999999999994</v>
      </c>
      <c r="AN88" s="11">
        <f t="shared" si="230"/>
        <v>88</v>
      </c>
    </row>
    <row r="89" spans="2:40">
      <c r="B89" s="3" t="s">
        <v>98</v>
      </c>
      <c r="C89" s="11">
        <f t="shared" ref="C89:AC89" si="231">SUM(C76:C88)+C75</f>
        <v>11995.099999999999</v>
      </c>
      <c r="D89" s="11">
        <f t="shared" si="231"/>
        <v>11811.099999999999</v>
      </c>
      <c r="E89" s="11">
        <f t="shared" si="231"/>
        <v>11794.5</v>
      </c>
      <c r="F89" s="11">
        <f t="shared" si="231"/>
        <v>11293.4</v>
      </c>
      <c r="G89" s="11">
        <f t="shared" si="231"/>
        <v>11185.6</v>
      </c>
      <c r="H89" s="11">
        <f t="shared" si="231"/>
        <v>11273.4</v>
      </c>
      <c r="I89" s="11">
        <f t="shared" si="231"/>
        <v>11062.5</v>
      </c>
      <c r="J89" s="11">
        <f t="shared" si="231"/>
        <v>10572.5</v>
      </c>
      <c r="K89" s="11">
        <f t="shared" si="231"/>
        <v>10856.099999999999</v>
      </c>
      <c r="L89" s="11">
        <f t="shared" si="231"/>
        <v>10325.400000000001</v>
      </c>
      <c r="M89" s="11">
        <f t="shared" si="231"/>
        <v>10382.700000000001</v>
      </c>
      <c r="N89" s="11">
        <f t="shared" si="231"/>
        <v>10516</v>
      </c>
      <c r="O89" s="11">
        <f t="shared" si="231"/>
        <v>10308.1</v>
      </c>
      <c r="P89" s="11">
        <f t="shared" si="231"/>
        <v>10341.299999999999</v>
      </c>
      <c r="Q89" s="11">
        <f t="shared" si="231"/>
        <v>10382.700000000001</v>
      </c>
      <c r="R89" s="11">
        <f t="shared" si="231"/>
        <v>10155</v>
      </c>
      <c r="S89" s="11">
        <f t="shared" si="231"/>
        <v>9868.4</v>
      </c>
      <c r="T89" s="11">
        <f t="shared" si="231"/>
        <v>9698.7999999999993</v>
      </c>
      <c r="U89" s="11">
        <f t="shared" si="231"/>
        <v>9932.4</v>
      </c>
      <c r="V89" s="11">
        <f t="shared" si="231"/>
        <v>10142.100000000002</v>
      </c>
      <c r="W89" s="11">
        <f t="shared" si="231"/>
        <v>10457.700000000001</v>
      </c>
      <c r="X89" s="11">
        <f t="shared" si="231"/>
        <v>10728.7</v>
      </c>
      <c r="Y89" s="11">
        <f t="shared" si="231"/>
        <v>10413.6</v>
      </c>
      <c r="Z89" s="11">
        <f t="shared" si="231"/>
        <v>10782.5</v>
      </c>
      <c r="AA89" s="11">
        <f t="shared" si="231"/>
        <v>10773.7</v>
      </c>
      <c r="AB89" s="11">
        <f t="shared" si="231"/>
        <v>10876.099999999999</v>
      </c>
      <c r="AC89" s="11">
        <f t="shared" si="231"/>
        <v>11671.3</v>
      </c>
      <c r="AE89" s="11">
        <f t="shared" ref="AE89:AH89" si="232">SUM(AE76:AE88)+AE75</f>
        <v>10411</v>
      </c>
      <c r="AF89" s="11">
        <f t="shared" si="232"/>
        <v>11669.5</v>
      </c>
      <c r="AG89" s="11">
        <f t="shared" si="232"/>
        <v>11664.599999999999</v>
      </c>
      <c r="AH89" s="11">
        <f t="shared" si="232"/>
        <v>11936.2</v>
      </c>
      <c r="AI89" s="11">
        <f t="shared" si="225"/>
        <v>11293.4</v>
      </c>
      <c r="AJ89" s="11">
        <f t="shared" ref="AJ89" si="233">SUM(AJ76:AJ88)+AJ75</f>
        <v>10572.5</v>
      </c>
      <c r="AK89" s="11">
        <f>SUM(AK76:AK88)+AK75</f>
        <v>10516</v>
      </c>
      <c r="AL89" s="11">
        <f>SUM(AL76:AL88)+AL75</f>
        <v>10155</v>
      </c>
      <c r="AM89" s="11">
        <f t="shared" ref="AM89:AN89" si="234">SUM(AM76:AM88)+AM75</f>
        <v>10142.100000000002</v>
      </c>
      <c r="AN89" s="11">
        <f t="shared" si="234"/>
        <v>10782.5</v>
      </c>
    </row>
    <row r="90" spans="2:40">
      <c r="H90" s="11"/>
      <c r="I90" s="11"/>
      <c r="L90" s="11"/>
      <c r="P90" s="11"/>
      <c r="Q90" s="11"/>
      <c r="R90" s="11"/>
      <c r="S90" s="11"/>
      <c r="T90" s="11"/>
      <c r="V90" s="11"/>
      <c r="X90" s="11"/>
      <c r="AE90" s="11"/>
      <c r="AF90" s="11"/>
      <c r="AG90" s="11"/>
      <c r="AH90" s="11"/>
      <c r="AI90" s="11"/>
      <c r="AN90" s="11"/>
    </row>
    <row r="91" spans="2:40">
      <c r="B91" s="3" t="s">
        <v>105</v>
      </c>
      <c r="C91" s="11">
        <v>893.5</v>
      </c>
      <c r="D91" s="11">
        <v>941.2</v>
      </c>
      <c r="E91" s="11">
        <v>958.1</v>
      </c>
      <c r="F91" s="11">
        <v>892.1</v>
      </c>
      <c r="G91" s="11">
        <v>870</v>
      </c>
      <c r="H91" s="11">
        <v>925.6</v>
      </c>
      <c r="I91" s="11">
        <v>856.6</v>
      </c>
      <c r="J91" s="11">
        <v>832.7</v>
      </c>
      <c r="K91" s="11">
        <v>860.8</v>
      </c>
      <c r="L91" s="11">
        <v>787.1</v>
      </c>
      <c r="M91" s="11">
        <v>548.79999999999995</v>
      </c>
      <c r="N91" s="11">
        <v>502.3</v>
      </c>
      <c r="O91" s="11">
        <v>524.4</v>
      </c>
      <c r="P91" s="11">
        <v>515.4</v>
      </c>
      <c r="Q91" s="11">
        <v>548.79999999999995</v>
      </c>
      <c r="R91" s="11">
        <v>495.2</v>
      </c>
      <c r="S91" s="11">
        <v>562.70000000000005</v>
      </c>
      <c r="T91" s="11">
        <v>727.4</v>
      </c>
      <c r="U91" s="11">
        <v>760.5</v>
      </c>
      <c r="V91" s="11">
        <v>739.5</v>
      </c>
      <c r="W91" s="11">
        <v>814.7</v>
      </c>
      <c r="X91" s="11">
        <v>819.8</v>
      </c>
      <c r="Y91" s="11">
        <v>881.6</v>
      </c>
      <c r="Z91" s="11">
        <v>787</v>
      </c>
      <c r="AA91" s="11">
        <v>922.1</v>
      </c>
      <c r="AB91" s="11">
        <v>1041.2</v>
      </c>
      <c r="AC91" s="11">
        <v>1159.5999999999999</v>
      </c>
      <c r="AE91" s="11">
        <v>980.6</v>
      </c>
      <c r="AF91" s="11">
        <v>1034.9000000000001</v>
      </c>
      <c r="AG91" s="3">
        <v>952.1</v>
      </c>
      <c r="AH91" s="3">
        <v>824.7</v>
      </c>
      <c r="AI91" s="11">
        <f>G91</f>
        <v>870</v>
      </c>
      <c r="AJ91" s="11">
        <f t="shared" ref="AJ91:AJ118" si="235">J91</f>
        <v>832.7</v>
      </c>
      <c r="AK91" s="11">
        <f t="shared" ref="AK91:AK105" si="236">N91</f>
        <v>502.3</v>
      </c>
      <c r="AL91" s="11">
        <f t="shared" ref="AL91:AL105" si="237">R91</f>
        <v>495.2</v>
      </c>
      <c r="AM91" s="11">
        <f t="shared" ref="AM91:AM105" si="238">V91</f>
        <v>739.5</v>
      </c>
      <c r="AN91" s="11">
        <f t="shared" ref="AN91:AN93" si="239">+Z91</f>
        <v>787</v>
      </c>
    </row>
    <row r="92" spans="2:40">
      <c r="B92" s="3" t="s">
        <v>106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6.5</v>
      </c>
      <c r="N92" s="11">
        <v>0</v>
      </c>
      <c r="O92" s="11">
        <v>15.9</v>
      </c>
      <c r="P92" s="11">
        <v>2</v>
      </c>
      <c r="Q92" s="11">
        <v>6.5</v>
      </c>
      <c r="R92" s="11">
        <v>14.8</v>
      </c>
      <c r="S92" s="11">
        <v>14.1</v>
      </c>
      <c r="T92" s="11">
        <v>12.3</v>
      </c>
      <c r="U92" s="11">
        <v>27.5</v>
      </c>
      <c r="V92" s="11">
        <v>27.5</v>
      </c>
      <c r="W92" s="11">
        <v>29.2</v>
      </c>
      <c r="X92" s="11">
        <v>29.7</v>
      </c>
      <c r="Y92" s="11">
        <v>37.1</v>
      </c>
      <c r="Z92" s="11">
        <v>37.6</v>
      </c>
      <c r="AA92" s="11">
        <v>40.299999999999997</v>
      </c>
      <c r="AB92" s="11">
        <v>47.9</v>
      </c>
      <c r="AC92" s="11">
        <v>48.4</v>
      </c>
      <c r="AE92" s="11">
        <v>0</v>
      </c>
      <c r="AF92" s="11">
        <v>0</v>
      </c>
      <c r="AG92" s="11">
        <f>G92</f>
        <v>0</v>
      </c>
      <c r="AH92" s="11">
        <f>H92</f>
        <v>0</v>
      </c>
      <c r="AI92" s="11">
        <f>I92</f>
        <v>0</v>
      </c>
      <c r="AJ92" s="11">
        <f t="shared" si="235"/>
        <v>0</v>
      </c>
      <c r="AK92" s="11">
        <f t="shared" si="236"/>
        <v>0</v>
      </c>
      <c r="AL92" s="11">
        <f t="shared" si="237"/>
        <v>14.8</v>
      </c>
      <c r="AM92" s="11">
        <f t="shared" si="238"/>
        <v>27.5</v>
      </c>
      <c r="AN92" s="11">
        <f t="shared" si="239"/>
        <v>37.6</v>
      </c>
    </row>
    <row r="93" spans="2:40">
      <c r="B93" s="3" t="s">
        <v>107</v>
      </c>
      <c r="C93" s="11">
        <v>0</v>
      </c>
      <c r="D93" s="11">
        <v>0</v>
      </c>
      <c r="E93" s="11">
        <v>0</v>
      </c>
      <c r="F93" s="11">
        <v>0</v>
      </c>
      <c r="G93" s="11">
        <v>8.5</v>
      </c>
      <c r="H93" s="11">
        <v>9.5</v>
      </c>
      <c r="I93" s="11">
        <v>9.1</v>
      </c>
      <c r="J93" s="11">
        <v>8</v>
      </c>
      <c r="K93" s="11">
        <v>9.4</v>
      </c>
      <c r="L93" s="11">
        <v>9.6</v>
      </c>
      <c r="M93" s="11">
        <v>11.2</v>
      </c>
      <c r="N93" s="11">
        <v>11.4</v>
      </c>
      <c r="O93" s="11">
        <v>11.4</v>
      </c>
      <c r="P93" s="11">
        <v>10.8</v>
      </c>
      <c r="Q93" s="11">
        <v>11.2</v>
      </c>
      <c r="R93" s="11">
        <v>11.5</v>
      </c>
      <c r="S93" s="11">
        <v>11</v>
      </c>
      <c r="T93" s="11">
        <v>11.3</v>
      </c>
      <c r="U93" s="11">
        <v>11</v>
      </c>
      <c r="V93" s="11">
        <v>12</v>
      </c>
      <c r="W93" s="11">
        <v>12.2</v>
      </c>
      <c r="X93" s="11">
        <v>11.5</v>
      </c>
      <c r="Y93" s="11">
        <v>12.2</v>
      </c>
      <c r="Z93" s="11">
        <v>13.8</v>
      </c>
      <c r="AA93" s="11">
        <v>15.4</v>
      </c>
      <c r="AB93" s="11">
        <v>16.3</v>
      </c>
      <c r="AC93" s="11">
        <v>18.3</v>
      </c>
      <c r="AE93" s="11">
        <v>0</v>
      </c>
      <c r="AF93" s="11">
        <v>0</v>
      </c>
      <c r="AG93" s="11">
        <f>G93</f>
        <v>8.5</v>
      </c>
      <c r="AH93" s="11">
        <f>H93</f>
        <v>9.5</v>
      </c>
      <c r="AI93" s="11">
        <f>G93</f>
        <v>8.5</v>
      </c>
      <c r="AJ93" s="11">
        <f t="shared" si="235"/>
        <v>8</v>
      </c>
      <c r="AK93" s="11">
        <f t="shared" si="236"/>
        <v>11.4</v>
      </c>
      <c r="AL93" s="11">
        <f t="shared" si="237"/>
        <v>11.5</v>
      </c>
      <c r="AM93" s="11">
        <f t="shared" si="238"/>
        <v>12</v>
      </c>
      <c r="AN93" s="11">
        <f t="shared" si="239"/>
        <v>13.8</v>
      </c>
    </row>
    <row r="94" spans="2:40" s="2" customFormat="1">
      <c r="B94" s="2" t="s">
        <v>116</v>
      </c>
      <c r="C94" s="25">
        <v>438</v>
      </c>
      <c r="D94" s="25">
        <v>361</v>
      </c>
      <c r="E94" s="25">
        <v>328.1</v>
      </c>
      <c r="F94" s="25">
        <v>179.3</v>
      </c>
      <c r="G94" s="25">
        <v>299.8</v>
      </c>
      <c r="H94" s="11">
        <v>296.10000000000002</v>
      </c>
      <c r="I94" s="25">
        <v>275</v>
      </c>
      <c r="J94" s="25">
        <v>215</v>
      </c>
      <c r="K94" s="25">
        <v>663</v>
      </c>
      <c r="L94" s="25">
        <v>471.2</v>
      </c>
      <c r="M94" s="25">
        <v>783.8</v>
      </c>
      <c r="N94" s="25">
        <v>375.5</v>
      </c>
      <c r="O94" s="25">
        <v>357.2</v>
      </c>
      <c r="P94" s="25">
        <v>808.6</v>
      </c>
      <c r="Q94" s="25">
        <v>783.8</v>
      </c>
      <c r="R94" s="25">
        <v>574.20000000000005</v>
      </c>
      <c r="S94" s="25">
        <v>326.8</v>
      </c>
      <c r="T94" s="25">
        <v>70.2</v>
      </c>
      <c r="U94" s="25">
        <v>280.2</v>
      </c>
      <c r="V94" s="25">
        <v>308.5</v>
      </c>
      <c r="W94" s="25">
        <v>301</v>
      </c>
      <c r="X94" s="25">
        <v>854.5</v>
      </c>
      <c r="Y94" s="25">
        <v>111.6</v>
      </c>
      <c r="Z94" s="25">
        <v>127.1</v>
      </c>
      <c r="AA94" s="25">
        <v>96.5</v>
      </c>
      <c r="AB94" s="25">
        <v>126.5</v>
      </c>
      <c r="AC94" s="25">
        <v>101.5</v>
      </c>
      <c r="AE94" s="25">
        <v>89.7</v>
      </c>
      <c r="AF94" s="25">
        <v>219.4</v>
      </c>
      <c r="AG94" s="25">
        <v>510.3</v>
      </c>
      <c r="AH94" s="25">
        <v>388.9</v>
      </c>
      <c r="AI94" s="25">
        <f t="shared" ref="AI94:AI118" si="240">F94</f>
        <v>179.3</v>
      </c>
      <c r="AJ94" s="11">
        <f t="shared" si="235"/>
        <v>215</v>
      </c>
      <c r="AK94" s="25">
        <f t="shared" si="236"/>
        <v>375.5</v>
      </c>
      <c r="AL94" s="25">
        <f t="shared" si="237"/>
        <v>574.20000000000005</v>
      </c>
      <c r="AM94" s="25">
        <f t="shared" si="238"/>
        <v>308.5</v>
      </c>
      <c r="AN94" s="25">
        <f>+Z94</f>
        <v>127.1</v>
      </c>
    </row>
    <row r="95" spans="2:40" s="2" customFormat="1">
      <c r="B95" s="2" t="s">
        <v>190</v>
      </c>
      <c r="C95" s="25">
        <v>21.7</v>
      </c>
      <c r="D95" s="25">
        <v>26</v>
      </c>
      <c r="E95" s="25">
        <v>335.5</v>
      </c>
      <c r="F95" s="25">
        <v>324</v>
      </c>
      <c r="G95" s="25">
        <v>319.60000000000002</v>
      </c>
      <c r="H95" s="25">
        <v>292.89999999999998</v>
      </c>
      <c r="I95" s="25">
        <v>256.60000000000002</v>
      </c>
      <c r="J95" s="25">
        <v>4</v>
      </c>
      <c r="K95" s="25">
        <v>4</v>
      </c>
      <c r="L95" s="25">
        <v>4.0999999999999996</v>
      </c>
      <c r="M95" s="25">
        <v>0</v>
      </c>
      <c r="N95" s="25">
        <v>0</v>
      </c>
      <c r="O95" s="25">
        <v>4.2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5">
        <v>0</v>
      </c>
      <c r="AE95" s="25">
        <v>10.3</v>
      </c>
      <c r="AF95" s="25">
        <v>10.1</v>
      </c>
      <c r="AG95" s="25">
        <v>22.9</v>
      </c>
      <c r="AH95" s="25">
        <v>17.600000000000001</v>
      </c>
      <c r="AI95" s="11">
        <f t="shared" si="240"/>
        <v>324</v>
      </c>
      <c r="AJ95" s="11">
        <f t="shared" si="235"/>
        <v>4</v>
      </c>
      <c r="AK95" s="25">
        <f t="shared" si="236"/>
        <v>0</v>
      </c>
      <c r="AL95" s="25">
        <f t="shared" si="237"/>
        <v>0</v>
      </c>
      <c r="AM95" s="11">
        <f t="shared" si="238"/>
        <v>0</v>
      </c>
      <c r="AN95" s="11">
        <f t="shared" ref="AN95:AN97" si="241">+Z95</f>
        <v>0</v>
      </c>
    </row>
    <row r="96" spans="2:40">
      <c r="B96" s="3" t="s">
        <v>108</v>
      </c>
      <c r="C96" s="11">
        <v>321</v>
      </c>
      <c r="D96" s="11">
        <v>252.1</v>
      </c>
      <c r="E96" s="11">
        <v>296</v>
      </c>
      <c r="F96" s="11">
        <v>288.39999999999998</v>
      </c>
      <c r="G96" s="11">
        <v>280</v>
      </c>
      <c r="H96" s="11">
        <v>288</v>
      </c>
      <c r="I96" s="11">
        <v>305.10000000000002</v>
      </c>
      <c r="J96" s="11">
        <v>289.8</v>
      </c>
      <c r="K96" s="11">
        <v>250.4</v>
      </c>
      <c r="L96" s="11">
        <v>234.8</v>
      </c>
      <c r="M96" s="11">
        <v>283.89999999999998</v>
      </c>
      <c r="N96" s="11">
        <v>249.9</v>
      </c>
      <c r="O96" s="11">
        <v>235.3</v>
      </c>
      <c r="P96" s="11">
        <v>251.8</v>
      </c>
      <c r="Q96" s="11">
        <v>283.89999999999998</v>
      </c>
      <c r="R96" s="11">
        <v>241.3</v>
      </c>
      <c r="S96" s="11">
        <v>263.3</v>
      </c>
      <c r="T96" s="11">
        <v>258.8</v>
      </c>
      <c r="U96" s="11">
        <v>305</v>
      </c>
      <c r="V96" s="11">
        <v>319.89999999999998</v>
      </c>
      <c r="W96" s="11">
        <v>368.1</v>
      </c>
      <c r="X96" s="11">
        <v>348.7</v>
      </c>
      <c r="Y96" s="11">
        <v>368.9</v>
      </c>
      <c r="Z96" s="11">
        <v>332.3</v>
      </c>
      <c r="AA96" s="11">
        <v>397.1</v>
      </c>
      <c r="AB96" s="11">
        <v>343.9</v>
      </c>
      <c r="AC96" s="11">
        <v>411.9</v>
      </c>
      <c r="AE96" s="11">
        <v>324.5</v>
      </c>
      <c r="AF96" s="11">
        <v>291.10000000000002</v>
      </c>
      <c r="AG96" s="11">
        <v>379.5</v>
      </c>
      <c r="AH96" s="11">
        <v>292.2</v>
      </c>
      <c r="AI96" s="11">
        <f t="shared" si="240"/>
        <v>288.39999999999998</v>
      </c>
      <c r="AJ96" s="11">
        <f t="shared" si="235"/>
        <v>289.8</v>
      </c>
      <c r="AK96" s="11">
        <f t="shared" si="236"/>
        <v>249.9</v>
      </c>
      <c r="AL96" s="11">
        <f t="shared" si="237"/>
        <v>241.3</v>
      </c>
      <c r="AM96" s="11">
        <f t="shared" si="238"/>
        <v>319.89999999999998</v>
      </c>
      <c r="AN96" s="11">
        <f t="shared" si="241"/>
        <v>332.3</v>
      </c>
    </row>
    <row r="97" spans="2:40">
      <c r="B97" s="3" t="s">
        <v>109</v>
      </c>
      <c r="C97" s="11">
        <v>859.4</v>
      </c>
      <c r="D97" s="11">
        <v>992.4</v>
      </c>
      <c r="E97" s="11">
        <v>973.2</v>
      </c>
      <c r="F97" s="11">
        <v>1045.4000000000001</v>
      </c>
      <c r="G97" s="11">
        <v>1100.3</v>
      </c>
      <c r="H97" s="11">
        <v>1167.9000000000001</v>
      </c>
      <c r="I97" s="11">
        <v>1220</v>
      </c>
      <c r="J97" s="11">
        <v>1171.7</v>
      </c>
      <c r="K97" s="11">
        <v>1211.5999999999999</v>
      </c>
      <c r="L97" s="11">
        <v>1084.8</v>
      </c>
      <c r="M97" s="11">
        <v>1041.4000000000001</v>
      </c>
      <c r="N97" s="11">
        <v>1033</v>
      </c>
      <c r="O97" s="11">
        <v>1016.4</v>
      </c>
      <c r="P97" s="11">
        <v>991.7</v>
      </c>
      <c r="Q97" s="11">
        <v>1041.4000000000001</v>
      </c>
      <c r="R97" s="11">
        <v>1204.5999999999999</v>
      </c>
      <c r="S97" s="11">
        <v>1301.8</v>
      </c>
      <c r="T97" s="11">
        <v>1317.8</v>
      </c>
      <c r="U97" s="11">
        <v>1410.2</v>
      </c>
      <c r="V97" s="11">
        <v>1469</v>
      </c>
      <c r="W97" s="11">
        <v>1580.9</v>
      </c>
      <c r="X97" s="11">
        <v>1658.4</v>
      </c>
      <c r="Y97" s="11">
        <v>1784</v>
      </c>
      <c r="Z97" s="11">
        <v>1919</v>
      </c>
      <c r="AA97" s="11">
        <v>1995.4</v>
      </c>
      <c r="AB97" s="11">
        <v>1922.1</v>
      </c>
      <c r="AC97" s="11">
        <v>2126.1</v>
      </c>
      <c r="AE97" s="11">
        <v>652.5</v>
      </c>
      <c r="AF97" s="11">
        <v>743.8</v>
      </c>
      <c r="AG97" s="11">
        <v>716.4</v>
      </c>
      <c r="AH97" s="11">
        <v>799.2</v>
      </c>
      <c r="AI97" s="11">
        <f t="shared" si="240"/>
        <v>1045.4000000000001</v>
      </c>
      <c r="AJ97" s="11">
        <f t="shared" si="235"/>
        <v>1171.7</v>
      </c>
      <c r="AK97" s="11">
        <f t="shared" si="236"/>
        <v>1033</v>
      </c>
      <c r="AL97" s="11">
        <f t="shared" si="237"/>
        <v>1204.5999999999999</v>
      </c>
      <c r="AM97" s="11">
        <f t="shared" si="238"/>
        <v>1469</v>
      </c>
      <c r="AN97" s="11">
        <f t="shared" si="241"/>
        <v>1919</v>
      </c>
    </row>
    <row r="98" spans="2:40" s="2" customFormat="1">
      <c r="B98" s="2" t="s">
        <v>92</v>
      </c>
      <c r="C98" s="25">
        <v>5.0999999999999996</v>
      </c>
      <c r="D98" s="25">
        <v>22.7</v>
      </c>
      <c r="E98" s="25">
        <v>23.7</v>
      </c>
      <c r="F98" s="25">
        <v>8.1</v>
      </c>
      <c r="G98" s="25">
        <v>5.5</v>
      </c>
      <c r="H98" s="25">
        <v>2</v>
      </c>
      <c r="I98" s="25">
        <v>18.100000000000001</v>
      </c>
      <c r="J98" s="25">
        <v>4.5</v>
      </c>
      <c r="K98" s="25">
        <v>13.6</v>
      </c>
      <c r="L98" s="25">
        <v>11.4</v>
      </c>
      <c r="M98" s="25">
        <v>2.8</v>
      </c>
      <c r="N98" s="25">
        <v>1.2</v>
      </c>
      <c r="O98" s="25">
        <v>1.9</v>
      </c>
      <c r="P98" s="25">
        <v>2.2999999999999998</v>
      </c>
      <c r="Q98" s="25">
        <v>2.8</v>
      </c>
      <c r="R98" s="25">
        <v>2.9</v>
      </c>
      <c r="S98" s="25">
        <v>3.2</v>
      </c>
      <c r="T98" s="25">
        <v>11</v>
      </c>
      <c r="U98" s="25">
        <v>103.7</v>
      </c>
      <c r="V98" s="25">
        <v>57.4</v>
      </c>
      <c r="W98" s="25">
        <v>60.9</v>
      </c>
      <c r="X98" s="25">
        <v>99.3</v>
      </c>
      <c r="Y98" s="25">
        <v>87.4</v>
      </c>
      <c r="Z98" s="25">
        <v>85.7</v>
      </c>
      <c r="AA98" s="25">
        <v>61.8</v>
      </c>
      <c r="AB98" s="25">
        <v>55</v>
      </c>
      <c r="AC98" s="25">
        <v>29.3</v>
      </c>
      <c r="AE98" s="25">
        <v>15.4</v>
      </c>
      <c r="AF98" s="25">
        <v>12.3</v>
      </c>
      <c r="AG98" s="25">
        <v>8.4</v>
      </c>
      <c r="AH98" s="25">
        <v>8.8000000000000007</v>
      </c>
      <c r="AI98" s="25">
        <f t="shared" si="240"/>
        <v>8.1</v>
      </c>
      <c r="AJ98" s="25">
        <f t="shared" si="235"/>
        <v>4.5</v>
      </c>
      <c r="AK98" s="25">
        <f t="shared" si="236"/>
        <v>1.2</v>
      </c>
      <c r="AL98" s="25">
        <f t="shared" si="237"/>
        <v>2.9</v>
      </c>
      <c r="AM98" s="25">
        <f t="shared" si="238"/>
        <v>57.4</v>
      </c>
      <c r="AN98" s="25">
        <f>+Z98</f>
        <v>85.7</v>
      </c>
    </row>
    <row r="99" spans="2:40">
      <c r="B99" s="3" t="s">
        <v>110</v>
      </c>
      <c r="C99" s="11">
        <v>45.4</v>
      </c>
      <c r="D99" s="11">
        <v>37.700000000000003</v>
      </c>
      <c r="E99" s="11">
        <v>40</v>
      </c>
      <c r="F99" s="11">
        <v>68.400000000000006</v>
      </c>
      <c r="G99" s="11">
        <v>74.099999999999994</v>
      </c>
      <c r="H99" s="11">
        <v>73.3</v>
      </c>
      <c r="I99" s="11">
        <v>70.400000000000006</v>
      </c>
      <c r="J99" s="11">
        <v>63.8</v>
      </c>
      <c r="K99" s="11">
        <v>70.7</v>
      </c>
      <c r="L99" s="11">
        <v>81.2</v>
      </c>
      <c r="M99" s="11">
        <v>38</v>
      </c>
      <c r="N99" s="11">
        <v>71.900000000000006</v>
      </c>
      <c r="O99" s="11">
        <v>60.9</v>
      </c>
      <c r="P99" s="11">
        <v>44.3</v>
      </c>
      <c r="Q99" s="11">
        <v>38</v>
      </c>
      <c r="R99" s="11">
        <v>40.4</v>
      </c>
      <c r="S99" s="11">
        <v>38</v>
      </c>
      <c r="T99" s="11">
        <v>37.1</v>
      </c>
      <c r="U99" s="11">
        <v>36.299999999999997</v>
      </c>
      <c r="V99" s="11">
        <v>47.2</v>
      </c>
      <c r="W99" s="11">
        <v>32.299999999999997</v>
      </c>
      <c r="X99" s="11">
        <v>33.9</v>
      </c>
      <c r="Y99" s="11">
        <v>34.799999999999997</v>
      </c>
      <c r="Z99" s="11">
        <v>42.6</v>
      </c>
      <c r="AA99" s="11">
        <v>38.1</v>
      </c>
      <c r="AB99" s="11">
        <v>33.9</v>
      </c>
      <c r="AC99" s="11">
        <v>37</v>
      </c>
      <c r="AE99" s="3">
        <v>125.6</v>
      </c>
      <c r="AF99" s="11">
        <v>70.8</v>
      </c>
      <c r="AG99" s="11">
        <v>43.6</v>
      </c>
      <c r="AH99" s="11">
        <v>70.7</v>
      </c>
      <c r="AI99" s="11">
        <f t="shared" si="240"/>
        <v>68.400000000000006</v>
      </c>
      <c r="AJ99" s="11">
        <f t="shared" si="235"/>
        <v>63.8</v>
      </c>
      <c r="AK99" s="11">
        <f t="shared" si="236"/>
        <v>71.900000000000006</v>
      </c>
      <c r="AL99" s="11">
        <f t="shared" si="237"/>
        <v>40.4</v>
      </c>
      <c r="AM99" s="11">
        <f t="shared" si="238"/>
        <v>47.2</v>
      </c>
      <c r="AN99" s="11">
        <f t="shared" ref="AN99:AN105" si="242">+Z99</f>
        <v>42.6</v>
      </c>
    </row>
    <row r="100" spans="2:40">
      <c r="B100" s="3" t="s">
        <v>111</v>
      </c>
      <c r="C100" s="11">
        <v>10.4</v>
      </c>
      <c r="D100" s="11">
        <v>22.9</v>
      </c>
      <c r="E100" s="11">
        <v>36</v>
      </c>
      <c r="F100" s="11">
        <v>48</v>
      </c>
      <c r="G100" s="11">
        <v>21</v>
      </c>
      <c r="H100" s="11">
        <v>30.9</v>
      </c>
      <c r="I100" s="11">
        <v>37.200000000000003</v>
      </c>
      <c r="J100" s="11">
        <v>97.5</v>
      </c>
      <c r="K100" s="11">
        <v>139.5</v>
      </c>
      <c r="L100" s="11">
        <v>101.8</v>
      </c>
      <c r="M100" s="11">
        <v>85.3</v>
      </c>
      <c r="N100" s="11">
        <v>40.700000000000003</v>
      </c>
      <c r="O100" s="11">
        <v>47.2</v>
      </c>
      <c r="P100" s="11">
        <v>73.5</v>
      </c>
      <c r="Q100" s="11">
        <v>85.3</v>
      </c>
      <c r="R100" s="11">
        <v>71.599999999999994</v>
      </c>
      <c r="S100" s="11">
        <v>71.400000000000006</v>
      </c>
      <c r="T100" s="11">
        <v>79.8</v>
      </c>
      <c r="U100" s="11">
        <v>97.9</v>
      </c>
      <c r="V100" s="11">
        <v>107.2</v>
      </c>
      <c r="W100" s="11">
        <v>117.3</v>
      </c>
      <c r="X100" s="11">
        <v>141.9</v>
      </c>
      <c r="Y100" s="11">
        <v>147.30000000000001</v>
      </c>
      <c r="Z100" s="11">
        <v>195.6</v>
      </c>
      <c r="AA100" s="11">
        <v>201.7</v>
      </c>
      <c r="AB100" s="11">
        <v>193.9</v>
      </c>
      <c r="AC100" s="11">
        <v>115.7</v>
      </c>
      <c r="AE100" s="11">
        <v>8.6</v>
      </c>
      <c r="AF100" s="11">
        <v>118.1</v>
      </c>
      <c r="AG100" s="11">
        <v>25.9</v>
      </c>
      <c r="AH100" s="11">
        <v>16.100000000000001</v>
      </c>
      <c r="AI100" s="11">
        <f t="shared" si="240"/>
        <v>48</v>
      </c>
      <c r="AJ100" s="11">
        <f t="shared" si="235"/>
        <v>97.5</v>
      </c>
      <c r="AK100" s="11">
        <f t="shared" si="236"/>
        <v>40.700000000000003</v>
      </c>
      <c r="AL100" s="11">
        <f t="shared" si="237"/>
        <v>71.599999999999994</v>
      </c>
      <c r="AM100" s="11">
        <f t="shared" si="238"/>
        <v>107.2</v>
      </c>
      <c r="AN100" s="11">
        <f t="shared" si="242"/>
        <v>195.6</v>
      </c>
    </row>
    <row r="101" spans="2:40">
      <c r="B101" s="3" t="s">
        <v>184</v>
      </c>
      <c r="C101" s="11">
        <v>35.9</v>
      </c>
      <c r="D101" s="11">
        <v>39</v>
      </c>
      <c r="E101" s="11">
        <v>48.5</v>
      </c>
      <c r="F101" s="11">
        <v>51</v>
      </c>
      <c r="G101" s="11">
        <v>18.100000000000001</v>
      </c>
      <c r="H101" s="11">
        <v>21.9</v>
      </c>
      <c r="I101" s="11">
        <v>21.2</v>
      </c>
      <c r="J101" s="11">
        <v>30.7</v>
      </c>
      <c r="K101" s="11">
        <v>35.200000000000003</v>
      </c>
      <c r="L101" s="11">
        <v>51.7</v>
      </c>
      <c r="M101" s="11">
        <v>34.1</v>
      </c>
      <c r="N101" s="11">
        <v>42.6</v>
      </c>
      <c r="O101" s="11">
        <v>38.799999999999997</v>
      </c>
      <c r="P101" s="11">
        <v>38.700000000000003</v>
      </c>
      <c r="Q101" s="11">
        <v>34.1</v>
      </c>
      <c r="R101" s="11">
        <v>15.8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E101" s="11">
        <v>29.5</v>
      </c>
      <c r="AF101" s="11">
        <v>161.5</v>
      </c>
      <c r="AG101" s="11">
        <v>49.7</v>
      </c>
      <c r="AH101" s="11">
        <v>22.2</v>
      </c>
      <c r="AI101" s="11">
        <f t="shared" si="240"/>
        <v>51</v>
      </c>
      <c r="AJ101" s="11">
        <f t="shared" si="235"/>
        <v>30.7</v>
      </c>
      <c r="AK101" s="11">
        <f t="shared" si="236"/>
        <v>42.6</v>
      </c>
      <c r="AL101" s="11">
        <f t="shared" si="237"/>
        <v>15.8</v>
      </c>
      <c r="AM101" s="11">
        <f t="shared" si="238"/>
        <v>0</v>
      </c>
      <c r="AN101" s="11">
        <f t="shared" si="242"/>
        <v>0</v>
      </c>
    </row>
    <row r="102" spans="2:40">
      <c r="B102" s="3" t="s">
        <v>112</v>
      </c>
      <c r="C102" s="11">
        <v>148.1</v>
      </c>
      <c r="D102" s="11">
        <v>148</v>
      </c>
      <c r="E102" s="11">
        <v>157.5</v>
      </c>
      <c r="F102" s="11">
        <v>2</v>
      </c>
      <c r="G102" s="11">
        <v>2</v>
      </c>
      <c r="H102" s="11">
        <v>2</v>
      </c>
      <c r="I102" s="11">
        <v>2</v>
      </c>
      <c r="J102" s="11">
        <v>2</v>
      </c>
      <c r="K102" s="11">
        <v>2</v>
      </c>
      <c r="L102" s="11">
        <v>2.5</v>
      </c>
      <c r="M102" s="11">
        <v>2.5</v>
      </c>
      <c r="N102" s="11">
        <v>0.5</v>
      </c>
      <c r="O102" s="11">
        <v>0</v>
      </c>
      <c r="P102" s="11">
        <v>2.5</v>
      </c>
      <c r="Q102" s="11">
        <v>2.5</v>
      </c>
      <c r="R102" s="11">
        <v>2.5</v>
      </c>
      <c r="S102" s="11">
        <v>2.8</v>
      </c>
      <c r="T102" s="11">
        <v>2.6</v>
      </c>
      <c r="U102" s="11">
        <v>2.6</v>
      </c>
      <c r="V102" s="11">
        <v>2.6</v>
      </c>
      <c r="W102" s="11">
        <v>2.6</v>
      </c>
      <c r="X102" s="11">
        <v>6.4</v>
      </c>
      <c r="Y102" s="11">
        <v>9</v>
      </c>
      <c r="Z102" s="11">
        <v>10.199999999999999</v>
      </c>
      <c r="AA102" s="11">
        <v>8.6</v>
      </c>
      <c r="AB102" s="11">
        <v>7.9</v>
      </c>
      <c r="AC102" s="11">
        <v>10.1</v>
      </c>
      <c r="AE102" s="11">
        <v>183.5</v>
      </c>
      <c r="AF102" s="11">
        <v>320</v>
      </c>
      <c r="AG102" s="11">
        <v>311.5</v>
      </c>
      <c r="AH102" s="11">
        <v>164.1</v>
      </c>
      <c r="AI102" s="11">
        <f t="shared" si="240"/>
        <v>2</v>
      </c>
      <c r="AJ102" s="11">
        <f t="shared" si="235"/>
        <v>2</v>
      </c>
      <c r="AK102" s="11">
        <f t="shared" si="236"/>
        <v>0.5</v>
      </c>
      <c r="AL102" s="11">
        <f t="shared" si="237"/>
        <v>2.5</v>
      </c>
      <c r="AM102" s="11">
        <f t="shared" si="238"/>
        <v>2.6</v>
      </c>
      <c r="AN102" s="11">
        <f t="shared" si="242"/>
        <v>10.199999999999999</v>
      </c>
    </row>
    <row r="103" spans="2:40">
      <c r="B103" s="3" t="s">
        <v>113</v>
      </c>
      <c r="C103" s="11">
        <v>137.1</v>
      </c>
      <c r="D103" s="11">
        <v>131.9</v>
      </c>
      <c r="E103" s="11">
        <v>120</v>
      </c>
      <c r="F103" s="11">
        <v>116.9</v>
      </c>
      <c r="G103" s="11">
        <v>114.8</v>
      </c>
      <c r="H103" s="11">
        <v>123</v>
      </c>
      <c r="I103" s="11">
        <v>128.19999999999999</v>
      </c>
      <c r="J103" s="11">
        <v>117.3</v>
      </c>
      <c r="K103" s="11">
        <v>103</v>
      </c>
      <c r="L103" s="11">
        <v>96.8</v>
      </c>
      <c r="M103" s="11">
        <v>114.1</v>
      </c>
      <c r="N103" s="11">
        <v>98.5</v>
      </c>
      <c r="O103" s="11">
        <v>95.6</v>
      </c>
      <c r="P103" s="11">
        <v>113.54</v>
      </c>
      <c r="Q103" s="11">
        <v>114.1</v>
      </c>
      <c r="R103" s="11">
        <v>108.9</v>
      </c>
      <c r="S103" s="11">
        <v>113.8</v>
      </c>
      <c r="T103" s="11">
        <v>111.8</v>
      </c>
      <c r="U103" s="11">
        <v>115.7</v>
      </c>
      <c r="V103" s="11">
        <v>126.4</v>
      </c>
      <c r="W103" s="11">
        <v>124.9</v>
      </c>
      <c r="X103" s="11">
        <v>100.4</v>
      </c>
      <c r="Y103" s="11">
        <v>102.5</v>
      </c>
      <c r="Z103" s="11">
        <v>114.7</v>
      </c>
      <c r="AA103" s="11">
        <v>93.6</v>
      </c>
      <c r="AB103" s="11">
        <v>89.5</v>
      </c>
      <c r="AC103" s="11">
        <v>99.6</v>
      </c>
      <c r="AE103" s="11">
        <v>95.4</v>
      </c>
      <c r="AF103" s="11">
        <v>95.7</v>
      </c>
      <c r="AG103" s="11">
        <v>135.80000000000001</v>
      </c>
      <c r="AH103" s="11">
        <v>141.30000000000001</v>
      </c>
      <c r="AI103" s="11">
        <f t="shared" si="240"/>
        <v>116.9</v>
      </c>
      <c r="AJ103" s="11">
        <f t="shared" si="235"/>
        <v>117.3</v>
      </c>
      <c r="AK103" s="11">
        <f t="shared" si="236"/>
        <v>98.5</v>
      </c>
      <c r="AL103" s="11">
        <f t="shared" si="237"/>
        <v>108.9</v>
      </c>
      <c r="AM103" s="11">
        <f t="shared" si="238"/>
        <v>126.4</v>
      </c>
      <c r="AN103" s="11">
        <f t="shared" si="242"/>
        <v>114.7</v>
      </c>
    </row>
    <row r="104" spans="2:40">
      <c r="B104" s="3" t="s">
        <v>183</v>
      </c>
      <c r="C104" s="11">
        <v>23.3</v>
      </c>
      <c r="D104" s="11">
        <v>7.1</v>
      </c>
      <c r="E104" s="11">
        <v>4.8</v>
      </c>
      <c r="F104" s="11">
        <v>5</v>
      </c>
      <c r="G104" s="11">
        <v>3.1</v>
      </c>
      <c r="H104" s="11">
        <v>2</v>
      </c>
      <c r="I104" s="11">
        <v>1.4</v>
      </c>
      <c r="J104" s="11">
        <v>1.4</v>
      </c>
      <c r="K104" s="11">
        <v>1.1000000000000001</v>
      </c>
      <c r="L104" s="11">
        <v>1</v>
      </c>
      <c r="M104" s="11">
        <v>1.2</v>
      </c>
      <c r="N104" s="11">
        <v>1.2</v>
      </c>
      <c r="O104" s="11">
        <v>1</v>
      </c>
      <c r="P104" s="11">
        <v>1.1000000000000001</v>
      </c>
      <c r="Q104" s="11">
        <v>1.2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E104" s="11">
        <v>37.299999999999997</v>
      </c>
      <c r="AF104" s="11">
        <v>2.7</v>
      </c>
      <c r="AG104" s="11">
        <v>24.8</v>
      </c>
      <c r="AH104" s="11">
        <v>36.799999999999997</v>
      </c>
      <c r="AI104" s="11">
        <f t="shared" si="240"/>
        <v>5</v>
      </c>
      <c r="AJ104" s="11">
        <f t="shared" si="235"/>
        <v>1.4</v>
      </c>
      <c r="AK104" s="11">
        <f t="shared" si="236"/>
        <v>1.2</v>
      </c>
      <c r="AL104" s="11">
        <f t="shared" si="237"/>
        <v>0</v>
      </c>
      <c r="AM104" s="11">
        <f t="shared" si="238"/>
        <v>0</v>
      </c>
      <c r="AN104" s="11">
        <f t="shared" si="242"/>
        <v>0</v>
      </c>
    </row>
    <row r="105" spans="2:40">
      <c r="B105" s="3" t="s">
        <v>114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45.1</v>
      </c>
      <c r="S105" s="3">
        <v>47.4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0.7</v>
      </c>
      <c r="Z105" s="11">
        <v>0</v>
      </c>
      <c r="AA105" s="11">
        <v>0</v>
      </c>
      <c r="AB105" s="11">
        <v>0</v>
      </c>
      <c r="AC105" s="11">
        <v>0</v>
      </c>
      <c r="AE105" s="11">
        <v>0</v>
      </c>
      <c r="AF105" s="11">
        <v>0</v>
      </c>
      <c r="AG105" s="11">
        <f>G105</f>
        <v>0</v>
      </c>
      <c r="AH105" s="11">
        <f>H105</f>
        <v>0</v>
      </c>
      <c r="AI105" s="11">
        <f t="shared" si="240"/>
        <v>0</v>
      </c>
      <c r="AJ105" s="11">
        <f t="shared" si="235"/>
        <v>0</v>
      </c>
      <c r="AK105" s="11">
        <f t="shared" si="236"/>
        <v>0</v>
      </c>
      <c r="AL105" s="11">
        <f t="shared" si="237"/>
        <v>45.1</v>
      </c>
      <c r="AM105" s="11">
        <f t="shared" si="238"/>
        <v>0</v>
      </c>
      <c r="AN105" s="11">
        <f t="shared" si="242"/>
        <v>0</v>
      </c>
    </row>
    <row r="106" spans="2:40">
      <c r="B106" s="3" t="s">
        <v>115</v>
      </c>
      <c r="C106" s="11">
        <f t="shared" ref="C106:AC106" si="243">SUM(C91:C105)</f>
        <v>2938.9</v>
      </c>
      <c r="D106" s="11">
        <f t="shared" si="243"/>
        <v>2981.9999999999995</v>
      </c>
      <c r="E106" s="11">
        <f t="shared" si="243"/>
        <v>3321.4</v>
      </c>
      <c r="F106" s="11">
        <f t="shared" si="243"/>
        <v>3028.6000000000004</v>
      </c>
      <c r="G106" s="11">
        <f t="shared" si="243"/>
        <v>3116.7999999999997</v>
      </c>
      <c r="H106" s="11">
        <f t="shared" si="243"/>
        <v>3235.1000000000004</v>
      </c>
      <c r="I106" s="11">
        <f t="shared" si="243"/>
        <v>3200.8999999999996</v>
      </c>
      <c r="J106" s="11">
        <f t="shared" si="243"/>
        <v>2838.4</v>
      </c>
      <c r="K106" s="11">
        <f t="shared" si="243"/>
        <v>3364.2999999999993</v>
      </c>
      <c r="L106" s="11">
        <f t="shared" si="243"/>
        <v>2938</v>
      </c>
      <c r="M106" s="11">
        <f t="shared" si="243"/>
        <v>2953.6</v>
      </c>
      <c r="N106" s="11">
        <f t="shared" si="243"/>
        <v>2428.6999999999998</v>
      </c>
      <c r="O106" s="11">
        <f t="shared" si="243"/>
        <v>2410.1999999999998</v>
      </c>
      <c r="P106" s="11">
        <f t="shared" si="243"/>
        <v>2856.2400000000002</v>
      </c>
      <c r="Q106" s="11">
        <f t="shared" si="243"/>
        <v>2953.6</v>
      </c>
      <c r="R106" s="11">
        <f t="shared" si="243"/>
        <v>2828.8</v>
      </c>
      <c r="S106" s="11">
        <f t="shared" si="243"/>
        <v>2756.3</v>
      </c>
      <c r="T106" s="11">
        <f t="shared" si="243"/>
        <v>2640.1000000000004</v>
      </c>
      <c r="U106" s="11">
        <f t="shared" si="243"/>
        <v>3150.6</v>
      </c>
      <c r="V106" s="11">
        <f t="shared" si="243"/>
        <v>3217.2</v>
      </c>
      <c r="W106" s="11">
        <f t="shared" si="243"/>
        <v>3444.1000000000008</v>
      </c>
      <c r="X106" s="11">
        <f t="shared" si="243"/>
        <v>4104.5</v>
      </c>
      <c r="Y106" s="11">
        <f t="shared" si="243"/>
        <v>3577.1000000000004</v>
      </c>
      <c r="Z106" s="11">
        <f t="shared" si="243"/>
        <v>3665.5999999999995</v>
      </c>
      <c r="AA106" s="11">
        <f t="shared" si="243"/>
        <v>3870.6</v>
      </c>
      <c r="AB106" s="11">
        <f t="shared" si="243"/>
        <v>3878.1000000000004</v>
      </c>
      <c r="AC106" s="11">
        <f t="shared" si="243"/>
        <v>4157.5</v>
      </c>
      <c r="AE106" s="11">
        <f t="shared" ref="AE106:AH106" si="244">SUM(AE91:AE105)</f>
        <v>2552.9</v>
      </c>
      <c r="AF106" s="11">
        <f t="shared" si="244"/>
        <v>3080.4</v>
      </c>
      <c r="AG106" s="11">
        <f t="shared" si="244"/>
        <v>3189.4000000000005</v>
      </c>
      <c r="AH106" s="11">
        <f t="shared" si="244"/>
        <v>2792.1</v>
      </c>
      <c r="AI106" s="11">
        <f t="shared" si="240"/>
        <v>3028.6000000000004</v>
      </c>
      <c r="AJ106" s="11">
        <f t="shared" si="235"/>
        <v>2838.4</v>
      </c>
      <c r="AK106" s="11">
        <f>SUM(AK91:AK105)</f>
        <v>2428.6999999999998</v>
      </c>
      <c r="AL106" s="11">
        <f>SUM(AL91:AL105)</f>
        <v>2828.8</v>
      </c>
      <c r="AM106" s="11">
        <f>SUM(AM91:AM105)</f>
        <v>3217.2</v>
      </c>
      <c r="AN106" s="11">
        <f>SUM(AN91:AN105)</f>
        <v>3665.5999999999995</v>
      </c>
    </row>
    <row r="107" spans="2:40">
      <c r="B107" s="3" t="s">
        <v>107</v>
      </c>
      <c r="C107" s="11">
        <v>0</v>
      </c>
      <c r="D107" s="11">
        <v>0</v>
      </c>
      <c r="E107" s="11">
        <v>0</v>
      </c>
      <c r="F107" s="11">
        <v>0</v>
      </c>
      <c r="G107" s="11">
        <v>47.4</v>
      </c>
      <c r="H107" s="11">
        <v>40.4</v>
      </c>
      <c r="I107" s="11">
        <v>37.6</v>
      </c>
      <c r="J107" s="11">
        <v>39.9</v>
      </c>
      <c r="K107" s="3">
        <v>54.9</v>
      </c>
      <c r="L107" s="11">
        <v>53.3</v>
      </c>
      <c r="M107" s="11">
        <v>52.9</v>
      </c>
      <c r="N107" s="11">
        <v>53.3</v>
      </c>
      <c r="O107" s="11">
        <v>50.6</v>
      </c>
      <c r="P107" s="11">
        <v>48.2</v>
      </c>
      <c r="Q107" s="11">
        <v>52.9</v>
      </c>
      <c r="R107" s="11">
        <v>52.3</v>
      </c>
      <c r="S107" s="11">
        <v>49</v>
      </c>
      <c r="T107" s="11">
        <v>52.6</v>
      </c>
      <c r="U107" s="11">
        <v>53.4</v>
      </c>
      <c r="V107" s="11">
        <v>59</v>
      </c>
      <c r="W107" s="11">
        <v>59.1</v>
      </c>
      <c r="X107" s="11">
        <v>61.9</v>
      </c>
      <c r="Y107" s="11">
        <v>66</v>
      </c>
      <c r="Z107" s="11">
        <v>82.2</v>
      </c>
      <c r="AA107" s="11">
        <v>79.2</v>
      </c>
      <c r="AB107" s="11">
        <v>82.3</v>
      </c>
      <c r="AC107" s="11">
        <v>94.7</v>
      </c>
      <c r="AE107" s="11">
        <v>0</v>
      </c>
      <c r="AF107" s="11">
        <v>0</v>
      </c>
      <c r="AG107" s="11">
        <v>0</v>
      </c>
      <c r="AH107" s="11">
        <v>0</v>
      </c>
      <c r="AI107" s="11">
        <f t="shared" si="240"/>
        <v>0</v>
      </c>
      <c r="AJ107" s="11">
        <f t="shared" si="235"/>
        <v>39.9</v>
      </c>
      <c r="AK107" s="11">
        <f t="shared" ref="AK107:AK118" si="245">N107</f>
        <v>53.3</v>
      </c>
      <c r="AL107" s="11">
        <f t="shared" ref="AL107:AL118" si="246">R107</f>
        <v>52.3</v>
      </c>
      <c r="AM107" s="11">
        <f t="shared" ref="AM107:AM118" si="247">V107</f>
        <v>59</v>
      </c>
      <c r="AN107" s="11">
        <f>+Z107</f>
        <v>82.2</v>
      </c>
    </row>
    <row r="108" spans="2:40" s="2" customFormat="1">
      <c r="B108" s="2" t="s">
        <v>116</v>
      </c>
      <c r="C108" s="25">
        <v>3749</v>
      </c>
      <c r="D108" s="25">
        <v>3701.3</v>
      </c>
      <c r="E108" s="25">
        <v>3694.5</v>
      </c>
      <c r="F108" s="25">
        <v>3468.4</v>
      </c>
      <c r="G108" s="25">
        <v>3287.3</v>
      </c>
      <c r="H108" s="25">
        <v>3273</v>
      </c>
      <c r="I108" s="25">
        <v>3247.6</v>
      </c>
      <c r="J108" s="25">
        <v>3177.3</v>
      </c>
      <c r="K108" s="25">
        <v>3169.2</v>
      </c>
      <c r="L108" s="25">
        <v>3328</v>
      </c>
      <c r="M108" s="25">
        <v>3523.5</v>
      </c>
      <c r="N108" s="25">
        <v>4072.5</v>
      </c>
      <c r="O108" s="25">
        <v>4008.3</v>
      </c>
      <c r="P108" s="25">
        <v>3523.2</v>
      </c>
      <c r="Q108" s="25">
        <v>3523.5</v>
      </c>
      <c r="R108" s="25">
        <v>3452.7</v>
      </c>
      <c r="S108" s="25">
        <v>3229</v>
      </c>
      <c r="T108" s="25">
        <v>3092.7</v>
      </c>
      <c r="U108" s="25">
        <v>2852.4</v>
      </c>
      <c r="V108" s="25">
        <v>2894.7</v>
      </c>
      <c r="W108" s="25">
        <v>3037.1</v>
      </c>
      <c r="X108" s="25">
        <v>2631.1</v>
      </c>
      <c r="Y108" s="25">
        <v>2752.9</v>
      </c>
      <c r="Z108" s="25">
        <v>2759.3</v>
      </c>
      <c r="AA108" s="25">
        <v>2527.8000000000002</v>
      </c>
      <c r="AB108" s="25">
        <v>2533.3000000000002</v>
      </c>
      <c r="AC108" s="25">
        <v>2544.5</v>
      </c>
      <c r="AE108" s="25">
        <v>2418.4</v>
      </c>
      <c r="AF108" s="25">
        <v>3311.1</v>
      </c>
      <c r="AG108" s="25">
        <v>3249.6</v>
      </c>
      <c r="AH108" s="25">
        <v>3809.6</v>
      </c>
      <c r="AI108" s="25">
        <f t="shared" si="240"/>
        <v>3468.4</v>
      </c>
      <c r="AJ108" s="25">
        <f t="shared" si="235"/>
        <v>3177.3</v>
      </c>
      <c r="AK108" s="25">
        <f t="shared" si="245"/>
        <v>4072.5</v>
      </c>
      <c r="AL108" s="25">
        <f t="shared" si="246"/>
        <v>3452.7</v>
      </c>
      <c r="AM108" s="25">
        <f t="shared" si="247"/>
        <v>2894.7</v>
      </c>
      <c r="AN108" s="25">
        <f>+Z108</f>
        <v>2759.3</v>
      </c>
    </row>
    <row r="109" spans="2:40" s="2" customFormat="1">
      <c r="B109" s="2" t="s">
        <v>190</v>
      </c>
      <c r="C109" s="25">
        <v>345.3</v>
      </c>
      <c r="D109" s="25">
        <v>341.8</v>
      </c>
      <c r="E109" s="25">
        <v>18</v>
      </c>
      <c r="F109" s="25">
        <v>17.399999999999999</v>
      </c>
      <c r="G109" s="25">
        <v>16.100000000000001</v>
      </c>
      <c r="H109" s="25">
        <v>15.5</v>
      </c>
      <c r="I109" s="25">
        <v>14.3</v>
      </c>
      <c r="J109" s="25">
        <v>13.6</v>
      </c>
      <c r="K109" s="25">
        <v>12.4</v>
      </c>
      <c r="L109" s="25">
        <v>11.7</v>
      </c>
      <c r="M109" s="25">
        <v>0</v>
      </c>
      <c r="N109" s="25">
        <v>0</v>
      </c>
      <c r="O109" s="25">
        <v>8.4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5">
        <v>0</v>
      </c>
      <c r="AE109" s="25">
        <v>389.7</v>
      </c>
      <c r="AF109" s="25">
        <v>374.7</v>
      </c>
      <c r="AG109" s="25">
        <v>351</v>
      </c>
      <c r="AH109" s="25">
        <v>346.5</v>
      </c>
      <c r="AI109" s="25">
        <f t="shared" si="240"/>
        <v>17.399999999999999</v>
      </c>
      <c r="AJ109" s="25">
        <f t="shared" si="235"/>
        <v>13.6</v>
      </c>
      <c r="AK109" s="25">
        <f t="shared" si="245"/>
        <v>0</v>
      </c>
      <c r="AL109" s="25">
        <f t="shared" si="246"/>
        <v>0</v>
      </c>
      <c r="AM109" s="25">
        <f t="shared" si="247"/>
        <v>0</v>
      </c>
      <c r="AN109" s="25">
        <f>+Z109</f>
        <v>0</v>
      </c>
    </row>
    <row r="110" spans="2:40">
      <c r="B110" s="3" t="s">
        <v>108</v>
      </c>
      <c r="C110" s="11">
        <v>23</v>
      </c>
      <c r="D110" s="11">
        <v>24.4</v>
      </c>
      <c r="E110" s="11">
        <v>23.4</v>
      </c>
      <c r="F110" s="11">
        <v>28.6</v>
      </c>
      <c r="G110" s="11">
        <v>29.1</v>
      </c>
      <c r="H110" s="11">
        <v>24.7</v>
      </c>
      <c r="I110" s="11">
        <v>23.1</v>
      </c>
      <c r="J110" s="11">
        <v>18</v>
      </c>
      <c r="K110" s="11">
        <v>8</v>
      </c>
      <c r="L110" s="11">
        <v>6</v>
      </c>
      <c r="M110" s="11">
        <v>39.6</v>
      </c>
      <c r="N110" s="11">
        <v>42.3</v>
      </c>
      <c r="O110" s="11">
        <v>34.9</v>
      </c>
      <c r="P110" s="11">
        <v>44.9</v>
      </c>
      <c r="Q110" s="11">
        <v>39.6</v>
      </c>
      <c r="R110" s="11">
        <v>57.6</v>
      </c>
      <c r="S110" s="11">
        <v>53.8</v>
      </c>
      <c r="T110" s="11">
        <v>55.1</v>
      </c>
      <c r="U110" s="11">
        <v>61.1</v>
      </c>
      <c r="V110" s="11">
        <v>51.1</v>
      </c>
      <c r="W110" s="11">
        <v>45.5</v>
      </c>
      <c r="X110" s="11">
        <v>52.9</v>
      </c>
      <c r="Y110" s="11">
        <v>47.3</v>
      </c>
      <c r="Z110" s="11">
        <v>55.4</v>
      </c>
      <c r="AA110" s="11">
        <v>61</v>
      </c>
      <c r="AB110" s="11">
        <v>90</v>
      </c>
      <c r="AC110" s="11">
        <v>139.5</v>
      </c>
      <c r="AE110" s="11">
        <v>87.6</v>
      </c>
      <c r="AF110" s="11">
        <v>39.6</v>
      </c>
      <c r="AG110" s="11">
        <v>16.899999999999999</v>
      </c>
      <c r="AH110" s="11">
        <v>21.5</v>
      </c>
      <c r="AI110" s="11">
        <f t="shared" si="240"/>
        <v>28.6</v>
      </c>
      <c r="AJ110" s="11">
        <f t="shared" si="235"/>
        <v>18</v>
      </c>
      <c r="AK110" s="11">
        <f t="shared" si="245"/>
        <v>42.3</v>
      </c>
      <c r="AL110" s="11">
        <f t="shared" si="246"/>
        <v>57.6</v>
      </c>
      <c r="AM110" s="11">
        <f t="shared" si="247"/>
        <v>51.1</v>
      </c>
      <c r="AN110" s="11">
        <f t="shared" ref="AN110:AN118" si="248">+Z110</f>
        <v>55.4</v>
      </c>
    </row>
    <row r="111" spans="2:40">
      <c r="B111" s="3" t="s">
        <v>109</v>
      </c>
      <c r="C111" s="11">
        <v>85.4</v>
      </c>
      <c r="D111" s="11">
        <v>90.8</v>
      </c>
      <c r="E111" s="11">
        <v>113.2</v>
      </c>
      <c r="F111" s="11">
        <v>198.2</v>
      </c>
      <c r="G111" s="11">
        <v>194.1</v>
      </c>
      <c r="H111" s="11">
        <v>179</v>
      </c>
      <c r="I111" s="11">
        <v>158.5</v>
      </c>
      <c r="J111" s="11">
        <v>257.8</v>
      </c>
      <c r="K111" s="11">
        <v>190.5</v>
      </c>
      <c r="L111" s="11">
        <v>239.1</v>
      </c>
      <c r="M111" s="11">
        <v>324.8</v>
      </c>
      <c r="N111" s="11">
        <v>262.39999999999998</v>
      </c>
      <c r="O111" s="11">
        <v>254.2</v>
      </c>
      <c r="P111" s="11">
        <v>267.5</v>
      </c>
      <c r="Q111" s="11">
        <v>324.8</v>
      </c>
      <c r="R111" s="11">
        <v>308.7</v>
      </c>
      <c r="S111" s="11">
        <v>454.8</v>
      </c>
      <c r="T111" s="11">
        <v>478.5</v>
      </c>
      <c r="U111" s="11">
        <v>570.9</v>
      </c>
      <c r="V111" s="11">
        <v>495</v>
      </c>
      <c r="W111" s="11">
        <v>526.70000000000005</v>
      </c>
      <c r="X111" s="11">
        <v>518.5</v>
      </c>
      <c r="Y111" s="11">
        <v>598.9</v>
      </c>
      <c r="Z111" s="11">
        <v>621.9</v>
      </c>
      <c r="AA111" s="11">
        <v>672.4</v>
      </c>
      <c r="AB111" s="11">
        <v>679</v>
      </c>
      <c r="AC111" s="11">
        <v>725.5</v>
      </c>
      <c r="AE111" s="11">
        <v>176.1</v>
      </c>
      <c r="AF111" s="11">
        <v>164.1</v>
      </c>
      <c r="AG111" s="11">
        <v>139.80000000000001</v>
      </c>
      <c r="AH111" s="11">
        <v>104.1</v>
      </c>
      <c r="AI111" s="11">
        <f t="shared" si="240"/>
        <v>198.2</v>
      </c>
      <c r="AJ111" s="11">
        <f t="shared" si="235"/>
        <v>257.8</v>
      </c>
      <c r="AK111" s="11">
        <f t="shared" si="245"/>
        <v>262.39999999999998</v>
      </c>
      <c r="AL111" s="11">
        <f t="shared" si="246"/>
        <v>308.7</v>
      </c>
      <c r="AM111" s="11">
        <f t="shared" si="247"/>
        <v>495</v>
      </c>
      <c r="AN111" s="11">
        <f t="shared" si="248"/>
        <v>621.9</v>
      </c>
    </row>
    <row r="112" spans="2:40">
      <c r="B112" s="3" t="s">
        <v>92</v>
      </c>
      <c r="C112" s="11">
        <v>0</v>
      </c>
      <c r="D112" s="11">
        <v>0.1</v>
      </c>
      <c r="E112" s="11">
        <v>0.1</v>
      </c>
      <c r="F112" s="11">
        <v>0</v>
      </c>
      <c r="G112" s="11">
        <v>0</v>
      </c>
      <c r="H112" s="11">
        <v>3</v>
      </c>
      <c r="I112" s="11">
        <v>5.2</v>
      </c>
      <c r="J112" s="11">
        <v>0</v>
      </c>
      <c r="K112" s="11">
        <v>0</v>
      </c>
      <c r="L112" s="11">
        <v>12.7</v>
      </c>
      <c r="M112" s="11">
        <v>3.6</v>
      </c>
      <c r="N112" s="11">
        <v>8.6999999999999993</v>
      </c>
      <c r="O112" s="11">
        <v>7.4</v>
      </c>
      <c r="P112" s="11">
        <v>4.7</v>
      </c>
      <c r="Q112" s="11">
        <v>3.6</v>
      </c>
      <c r="R112" s="11">
        <v>3</v>
      </c>
      <c r="S112" s="11">
        <v>0</v>
      </c>
      <c r="T112" s="11">
        <v>0</v>
      </c>
      <c r="U112" s="11">
        <v>51.5</v>
      </c>
      <c r="V112" s="11">
        <v>40.1</v>
      </c>
      <c r="W112" s="11">
        <v>41.3</v>
      </c>
      <c r="X112" s="11">
        <v>58.4</v>
      </c>
      <c r="Y112" s="11">
        <v>52.6</v>
      </c>
      <c r="Z112" s="11">
        <v>39.5</v>
      </c>
      <c r="AA112" s="11">
        <v>25.8</v>
      </c>
      <c r="AB112" s="11">
        <v>19.8</v>
      </c>
      <c r="AC112" s="11">
        <v>18.399999999999999</v>
      </c>
      <c r="AE112" s="11">
        <v>0</v>
      </c>
      <c r="AF112" s="11">
        <v>0</v>
      </c>
      <c r="AG112" s="11">
        <v>0</v>
      </c>
      <c r="AH112" s="11">
        <v>0.1</v>
      </c>
      <c r="AI112" s="11">
        <f t="shared" si="240"/>
        <v>0</v>
      </c>
      <c r="AJ112" s="11">
        <f t="shared" si="235"/>
        <v>0</v>
      </c>
      <c r="AK112" s="11">
        <f t="shared" si="245"/>
        <v>8.6999999999999993</v>
      </c>
      <c r="AL112" s="11">
        <f t="shared" si="246"/>
        <v>3</v>
      </c>
      <c r="AM112" s="11">
        <f t="shared" si="247"/>
        <v>40.1</v>
      </c>
      <c r="AN112" s="11">
        <f t="shared" si="248"/>
        <v>39.5</v>
      </c>
    </row>
    <row r="113" spans="2:40">
      <c r="B113" s="3" t="s">
        <v>110</v>
      </c>
      <c r="C113" s="11">
        <v>70.099999999999994</v>
      </c>
      <c r="D113" s="11">
        <v>60.9</v>
      </c>
      <c r="E113" s="11">
        <v>59</v>
      </c>
      <c r="F113" s="11">
        <v>58.2</v>
      </c>
      <c r="G113" s="11">
        <v>58.5</v>
      </c>
      <c r="H113" s="11">
        <v>61.5</v>
      </c>
      <c r="I113" s="11">
        <v>12.5</v>
      </c>
      <c r="J113" s="11">
        <v>13.4</v>
      </c>
      <c r="K113" s="11">
        <v>11</v>
      </c>
      <c r="L113" s="11">
        <v>10.6</v>
      </c>
      <c r="M113" s="11">
        <v>10</v>
      </c>
      <c r="N113" s="11">
        <v>11.8</v>
      </c>
      <c r="O113" s="11">
        <v>10.8</v>
      </c>
      <c r="P113" s="11">
        <v>12.4</v>
      </c>
      <c r="Q113" s="11">
        <v>10</v>
      </c>
      <c r="R113" s="11">
        <v>10</v>
      </c>
      <c r="S113" s="11">
        <v>13</v>
      </c>
      <c r="T113" s="11">
        <v>12.1</v>
      </c>
      <c r="U113" s="11">
        <v>12.2</v>
      </c>
      <c r="V113" s="11">
        <v>13.2</v>
      </c>
      <c r="W113" s="11">
        <v>20.399999999999999</v>
      </c>
      <c r="X113" s="11">
        <v>22.3</v>
      </c>
      <c r="Y113" s="11">
        <v>22.3</v>
      </c>
      <c r="Z113" s="11">
        <v>18.3</v>
      </c>
      <c r="AA113" s="11">
        <v>17.2</v>
      </c>
      <c r="AB113" s="11">
        <v>15.4</v>
      </c>
      <c r="AC113" s="11">
        <v>13.1</v>
      </c>
      <c r="AE113" s="11">
        <v>144.1</v>
      </c>
      <c r="AF113" s="11">
        <v>80.599999999999994</v>
      </c>
      <c r="AG113" s="11">
        <v>67.900000000000006</v>
      </c>
      <c r="AH113" s="11">
        <v>70.2</v>
      </c>
      <c r="AI113" s="11">
        <f t="shared" si="240"/>
        <v>58.2</v>
      </c>
      <c r="AJ113" s="11">
        <f t="shared" si="235"/>
        <v>13.4</v>
      </c>
      <c r="AK113" s="11">
        <f t="shared" si="245"/>
        <v>11.8</v>
      </c>
      <c r="AL113" s="11">
        <f t="shared" si="246"/>
        <v>10</v>
      </c>
      <c r="AM113" s="11">
        <f t="shared" si="247"/>
        <v>13.2</v>
      </c>
      <c r="AN113" s="11">
        <f t="shared" si="248"/>
        <v>18.3</v>
      </c>
    </row>
    <row r="114" spans="2:40">
      <c r="B114" s="3" t="s">
        <v>265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4</v>
      </c>
      <c r="W114" s="11">
        <v>4.2</v>
      </c>
      <c r="X114" s="11">
        <v>4.5</v>
      </c>
      <c r="Y114" s="11">
        <v>4.5</v>
      </c>
      <c r="Z114" s="11">
        <v>5.0999999999999996</v>
      </c>
      <c r="AA114" s="11">
        <v>5.0999999999999996</v>
      </c>
      <c r="AB114" s="11">
        <v>4.5999999999999996</v>
      </c>
      <c r="AC114" s="11">
        <v>3.6</v>
      </c>
      <c r="AE114" s="11"/>
      <c r="AF114" s="11"/>
      <c r="AG114" s="11"/>
      <c r="AH114" s="11"/>
      <c r="AI114" s="11">
        <f t="shared" si="240"/>
        <v>0</v>
      </c>
      <c r="AJ114" s="11">
        <f t="shared" si="235"/>
        <v>0</v>
      </c>
      <c r="AK114" s="11">
        <f t="shared" si="245"/>
        <v>0</v>
      </c>
      <c r="AL114" s="11">
        <f t="shared" si="246"/>
        <v>0</v>
      </c>
      <c r="AM114" s="11">
        <f t="shared" si="247"/>
        <v>4</v>
      </c>
      <c r="AN114" s="11">
        <f t="shared" si="248"/>
        <v>5.0999999999999996</v>
      </c>
    </row>
    <row r="115" spans="2:40">
      <c r="B115" s="3" t="s">
        <v>117</v>
      </c>
      <c r="C115" s="11">
        <v>248.2</v>
      </c>
      <c r="D115" s="11">
        <v>298.3</v>
      </c>
      <c r="E115" s="11">
        <v>287.89999999999998</v>
      </c>
      <c r="F115" s="11">
        <v>254</v>
      </c>
      <c r="G115" s="11">
        <v>235.8</v>
      </c>
      <c r="H115" s="11">
        <v>214.2</v>
      </c>
      <c r="I115" s="11">
        <v>242.7</v>
      </c>
      <c r="J115" s="11">
        <v>301</v>
      </c>
      <c r="K115" s="11">
        <v>492.1</v>
      </c>
      <c r="L115" s="11">
        <v>508.6</v>
      </c>
      <c r="M115" s="11">
        <v>428.6</v>
      </c>
      <c r="N115" s="11">
        <v>474.7</v>
      </c>
      <c r="O115" s="11">
        <v>488.7</v>
      </c>
      <c r="P115" s="11">
        <v>444.8</v>
      </c>
      <c r="Q115" s="11">
        <v>428.6</v>
      </c>
      <c r="R115" s="11">
        <v>505.8</v>
      </c>
      <c r="S115" s="11">
        <v>376.1</v>
      </c>
      <c r="T115" s="11">
        <v>334.4</v>
      </c>
      <c r="U115" s="11">
        <v>309.10000000000002</v>
      </c>
      <c r="V115" s="11">
        <v>370.6</v>
      </c>
      <c r="W115" s="11">
        <v>328.7</v>
      </c>
      <c r="X115" s="11">
        <v>329.6</v>
      </c>
      <c r="Y115" s="11">
        <v>312.60000000000002</v>
      </c>
      <c r="Z115" s="11">
        <v>304.7</v>
      </c>
      <c r="AA115" s="11">
        <v>283.5</v>
      </c>
      <c r="AB115" s="11">
        <v>275.8</v>
      </c>
      <c r="AC115" s="11">
        <v>330.7</v>
      </c>
      <c r="AE115" s="11">
        <v>270.39999999999998</v>
      </c>
      <c r="AF115" s="11">
        <v>417.3</v>
      </c>
      <c r="AG115" s="11">
        <v>263.3</v>
      </c>
      <c r="AH115" s="11">
        <v>251.3</v>
      </c>
      <c r="AI115" s="11">
        <f t="shared" si="240"/>
        <v>254</v>
      </c>
      <c r="AJ115" s="11">
        <f t="shared" si="235"/>
        <v>301</v>
      </c>
      <c r="AK115" s="11">
        <f t="shared" si="245"/>
        <v>474.7</v>
      </c>
      <c r="AL115" s="11">
        <f t="shared" si="246"/>
        <v>505.8</v>
      </c>
      <c r="AM115" s="11">
        <f t="shared" si="247"/>
        <v>370.6</v>
      </c>
      <c r="AN115" s="11">
        <f t="shared" si="248"/>
        <v>304.7</v>
      </c>
    </row>
    <row r="116" spans="2:40">
      <c r="B116" s="3" t="s">
        <v>184</v>
      </c>
      <c r="C116" s="11">
        <v>115.8</v>
      </c>
      <c r="D116" s="11">
        <v>103.9</v>
      </c>
      <c r="E116" s="11">
        <v>102</v>
      </c>
      <c r="F116" s="11">
        <v>101.1</v>
      </c>
      <c r="G116" s="11">
        <v>121.2</v>
      </c>
      <c r="H116" s="11">
        <v>123</v>
      </c>
      <c r="I116" s="11">
        <v>129.69999999999999</v>
      </c>
      <c r="J116" s="11">
        <v>109.6</v>
      </c>
      <c r="K116" s="11">
        <v>99.4</v>
      </c>
      <c r="L116" s="11">
        <v>69.2</v>
      </c>
      <c r="M116" s="11">
        <v>63.1</v>
      </c>
      <c r="N116" s="11">
        <v>82.6</v>
      </c>
      <c r="O116" s="11">
        <v>78.599999999999994</v>
      </c>
      <c r="P116" s="11">
        <v>73.8</v>
      </c>
      <c r="Q116" s="11">
        <v>63.1</v>
      </c>
      <c r="R116" s="11">
        <v>2.9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E116" s="11">
        <v>208.5</v>
      </c>
      <c r="AF116" s="11">
        <v>131.6</v>
      </c>
      <c r="AG116" s="11">
        <v>161.1</v>
      </c>
      <c r="AH116" s="11">
        <v>134.6</v>
      </c>
      <c r="AI116" s="11">
        <f t="shared" si="240"/>
        <v>101.1</v>
      </c>
      <c r="AJ116" s="11">
        <f t="shared" si="235"/>
        <v>109.6</v>
      </c>
      <c r="AK116" s="11">
        <f t="shared" si="245"/>
        <v>82.6</v>
      </c>
      <c r="AL116" s="11">
        <f t="shared" si="246"/>
        <v>2.9</v>
      </c>
      <c r="AM116" s="11">
        <f t="shared" si="247"/>
        <v>0</v>
      </c>
      <c r="AN116" s="11">
        <f t="shared" si="248"/>
        <v>0</v>
      </c>
    </row>
    <row r="117" spans="2:40">
      <c r="B117" s="3" t="s">
        <v>112</v>
      </c>
      <c r="C117" s="11">
        <v>95.9</v>
      </c>
      <c r="D117" s="11">
        <v>93.3</v>
      </c>
      <c r="E117" s="11">
        <v>83.8</v>
      </c>
      <c r="F117" s="11">
        <v>73.2</v>
      </c>
      <c r="G117" s="11">
        <v>70.099999999999994</v>
      </c>
      <c r="H117" s="11">
        <v>68.2</v>
      </c>
      <c r="I117" s="11">
        <v>65.2</v>
      </c>
      <c r="J117" s="11">
        <v>63.7</v>
      </c>
      <c r="K117" s="11">
        <v>61.2</v>
      </c>
      <c r="L117" s="11">
        <v>60.1</v>
      </c>
      <c r="M117" s="11">
        <v>66.400000000000006</v>
      </c>
      <c r="N117" s="11">
        <v>57.3</v>
      </c>
      <c r="O117" s="11">
        <v>56.5</v>
      </c>
      <c r="P117" s="11">
        <v>67.599999999999994</v>
      </c>
      <c r="Q117" s="11">
        <v>66.400000000000006</v>
      </c>
      <c r="R117" s="11">
        <v>37.700000000000003</v>
      </c>
      <c r="S117" s="11">
        <v>37.6</v>
      </c>
      <c r="T117" s="11">
        <v>27.2</v>
      </c>
      <c r="U117" s="11">
        <v>25.6</v>
      </c>
      <c r="V117" s="11">
        <v>22.6</v>
      </c>
      <c r="W117" s="11">
        <v>21.9</v>
      </c>
      <c r="X117" s="11">
        <v>21.2</v>
      </c>
      <c r="Y117" s="11">
        <v>20.5</v>
      </c>
      <c r="Z117" s="11">
        <v>17.7</v>
      </c>
      <c r="AA117" s="11">
        <v>16.399999999999999</v>
      </c>
      <c r="AB117" s="11">
        <v>16.100000000000001</v>
      </c>
      <c r="AC117" s="11">
        <v>14</v>
      </c>
      <c r="AE117" s="11">
        <v>145.4</v>
      </c>
      <c r="AF117" s="11">
        <v>117.5</v>
      </c>
      <c r="AG117" s="11">
        <v>113.9</v>
      </c>
      <c r="AH117" s="11">
        <v>97.5</v>
      </c>
      <c r="AI117" s="11">
        <f t="shared" si="240"/>
        <v>73.2</v>
      </c>
      <c r="AJ117" s="11">
        <f t="shared" si="235"/>
        <v>63.7</v>
      </c>
      <c r="AK117" s="11">
        <f t="shared" si="245"/>
        <v>57.3</v>
      </c>
      <c r="AL117" s="11">
        <f t="shared" si="246"/>
        <v>37.700000000000003</v>
      </c>
      <c r="AM117" s="11">
        <f t="shared" si="247"/>
        <v>22.6</v>
      </c>
      <c r="AN117" s="11">
        <f t="shared" si="248"/>
        <v>17.7</v>
      </c>
    </row>
    <row r="118" spans="2:40">
      <c r="B118" s="3" t="s">
        <v>113</v>
      </c>
      <c r="C118" s="11">
        <v>139.6</v>
      </c>
      <c r="D118" s="11">
        <v>124.2</v>
      </c>
      <c r="E118" s="11">
        <v>121.5</v>
      </c>
      <c r="F118" s="11">
        <v>125.5</v>
      </c>
      <c r="G118" s="11">
        <v>117.4</v>
      </c>
      <c r="H118" s="11">
        <v>125.7</v>
      </c>
      <c r="I118" s="11">
        <v>122.9</v>
      </c>
      <c r="J118" s="11">
        <v>125.2</v>
      </c>
      <c r="K118" s="11">
        <v>108.7</v>
      </c>
      <c r="L118" s="11">
        <v>107.8</v>
      </c>
      <c r="M118" s="11">
        <v>108.4</v>
      </c>
      <c r="N118" s="11">
        <v>114.2</v>
      </c>
      <c r="O118" s="11">
        <v>105.1</v>
      </c>
      <c r="P118" s="11">
        <v>112.3</v>
      </c>
      <c r="Q118" s="11">
        <v>108.4</v>
      </c>
      <c r="R118" s="11">
        <v>120.5</v>
      </c>
      <c r="S118" s="11">
        <v>141.9</v>
      </c>
      <c r="T118" s="11">
        <v>133.4</v>
      </c>
      <c r="U118" s="11">
        <v>134.5</v>
      </c>
      <c r="V118" s="11">
        <v>150.19999999999999</v>
      </c>
      <c r="W118" s="11">
        <v>156.69999999999999</v>
      </c>
      <c r="X118" s="11">
        <v>166.8</v>
      </c>
      <c r="Y118" s="11">
        <v>163.30000000000001</v>
      </c>
      <c r="Z118" s="11">
        <v>173.5</v>
      </c>
      <c r="AA118" s="11">
        <v>172.4</v>
      </c>
      <c r="AB118" s="11">
        <v>167.9</v>
      </c>
      <c r="AC118" s="11">
        <v>214.1</v>
      </c>
      <c r="AE118" s="11">
        <v>153.1</v>
      </c>
      <c r="AF118" s="11">
        <v>108.9</v>
      </c>
      <c r="AG118" s="11">
        <v>179</v>
      </c>
      <c r="AH118" s="11">
        <v>136.19999999999999</v>
      </c>
      <c r="AI118" s="11">
        <f t="shared" si="240"/>
        <v>125.5</v>
      </c>
      <c r="AJ118" s="11">
        <f t="shared" si="235"/>
        <v>125.2</v>
      </c>
      <c r="AK118" s="11">
        <f t="shared" si="245"/>
        <v>114.2</v>
      </c>
      <c r="AL118" s="11">
        <f t="shared" si="246"/>
        <v>120.5</v>
      </c>
      <c r="AM118" s="11">
        <f t="shared" si="247"/>
        <v>150.19999999999999</v>
      </c>
      <c r="AN118" s="11">
        <f t="shared" si="248"/>
        <v>173.5</v>
      </c>
    </row>
    <row r="119" spans="2:40">
      <c r="B119" s="3" t="s">
        <v>118</v>
      </c>
      <c r="C119" s="11">
        <f t="shared" ref="C119:AC119" si="249">SUM(C107:C118)+C106</f>
        <v>7811.2000000000007</v>
      </c>
      <c r="D119" s="11">
        <f t="shared" si="249"/>
        <v>7821</v>
      </c>
      <c r="E119" s="11">
        <f t="shared" si="249"/>
        <v>7824.7999999999993</v>
      </c>
      <c r="F119" s="11">
        <f t="shared" si="249"/>
        <v>7353.2</v>
      </c>
      <c r="G119" s="11">
        <f t="shared" si="249"/>
        <v>7293.7999999999993</v>
      </c>
      <c r="H119" s="11">
        <f t="shared" si="249"/>
        <v>7363.3</v>
      </c>
      <c r="I119" s="11">
        <f t="shared" si="249"/>
        <v>7260.1999999999989</v>
      </c>
      <c r="J119" s="11">
        <f t="shared" si="249"/>
        <v>6957.9</v>
      </c>
      <c r="K119" s="11">
        <f t="shared" si="249"/>
        <v>7571.6999999999989</v>
      </c>
      <c r="L119" s="11">
        <f t="shared" si="249"/>
        <v>7345.1</v>
      </c>
      <c r="M119" s="11">
        <f t="shared" si="249"/>
        <v>7574.5</v>
      </c>
      <c r="N119" s="11">
        <f t="shared" si="249"/>
        <v>7608.5</v>
      </c>
      <c r="O119" s="11">
        <f t="shared" si="249"/>
        <v>7513.7</v>
      </c>
      <c r="P119" s="11">
        <f t="shared" si="249"/>
        <v>7455.6400000000012</v>
      </c>
      <c r="Q119" s="11">
        <f t="shared" si="249"/>
        <v>7574.5</v>
      </c>
      <c r="R119" s="11">
        <f t="shared" si="249"/>
        <v>7379.9999999999991</v>
      </c>
      <c r="S119" s="11">
        <f t="shared" si="249"/>
        <v>7111.5000000000009</v>
      </c>
      <c r="T119" s="11">
        <f t="shared" si="249"/>
        <v>6826.0999999999995</v>
      </c>
      <c r="U119" s="11">
        <f t="shared" si="249"/>
        <v>7221.2999999999993</v>
      </c>
      <c r="V119" s="11">
        <f t="shared" si="249"/>
        <v>7317.6999999999989</v>
      </c>
      <c r="W119" s="11">
        <f t="shared" si="249"/>
        <v>7685.7000000000007</v>
      </c>
      <c r="X119" s="11">
        <f t="shared" si="249"/>
        <v>7971.7000000000007</v>
      </c>
      <c r="Y119" s="11">
        <f t="shared" si="249"/>
        <v>7618.0000000000009</v>
      </c>
      <c r="Z119" s="11">
        <f t="shared" si="249"/>
        <v>7743.1999999999989</v>
      </c>
      <c r="AA119" s="11">
        <f t="shared" si="249"/>
        <v>7731.4</v>
      </c>
      <c r="AB119" s="11">
        <f t="shared" si="249"/>
        <v>7762.3000000000011</v>
      </c>
      <c r="AC119" s="11">
        <f t="shared" si="249"/>
        <v>8255.5999999999985</v>
      </c>
      <c r="AE119" s="11">
        <f t="shared" ref="AE119:AH119" si="250">SUM(AE107:AE118)+AE106</f>
        <v>6546.2</v>
      </c>
      <c r="AF119" s="11">
        <f t="shared" si="250"/>
        <v>7825.7999999999993</v>
      </c>
      <c r="AG119" s="11">
        <f t="shared" si="250"/>
        <v>7731.9000000000005</v>
      </c>
      <c r="AH119" s="11">
        <f t="shared" si="250"/>
        <v>7763.7000000000007</v>
      </c>
      <c r="AI119" s="11">
        <f t="shared" ref="AI119:AJ119" si="251">SUM(AI107:AI118)+AI106</f>
        <v>7353.2</v>
      </c>
      <c r="AJ119" s="11">
        <f t="shared" si="251"/>
        <v>6957.9</v>
      </c>
      <c r="AK119" s="11">
        <f>SUM(AK107:AK118)+AK106</f>
        <v>7608.5</v>
      </c>
      <c r="AL119" s="11">
        <f>SUM(AL107:AL118)+AL106</f>
        <v>7379.9999999999991</v>
      </c>
      <c r="AM119" s="11">
        <f>SUM(AM107:AM118)+AM106</f>
        <v>7317.6999999999989</v>
      </c>
      <c r="AN119" s="11">
        <f>SUM(AN107:AN118)+AN106</f>
        <v>7743.1999999999989</v>
      </c>
    </row>
    <row r="120" spans="2:40">
      <c r="G120" s="11"/>
      <c r="H120" s="11"/>
      <c r="I120" s="11"/>
      <c r="L120" s="11"/>
      <c r="P120" s="11"/>
      <c r="Q120" s="11"/>
      <c r="R120" s="11"/>
      <c r="S120" s="11"/>
      <c r="T120" s="11"/>
      <c r="U120" s="11"/>
      <c r="V120" s="11"/>
      <c r="AE120" s="11"/>
      <c r="AF120" s="11"/>
      <c r="AN120" s="11"/>
    </row>
    <row r="121" spans="2:40">
      <c r="B121" s="3" t="s">
        <v>119</v>
      </c>
      <c r="C121" s="11">
        <v>4183.8999999999996</v>
      </c>
      <c r="D121" s="11">
        <v>3990.1</v>
      </c>
      <c r="E121" s="11">
        <v>3969.7</v>
      </c>
      <c r="F121" s="11">
        <v>3940.1</v>
      </c>
      <c r="G121" s="11">
        <v>3891.7</v>
      </c>
      <c r="H121" s="11">
        <v>3910.1</v>
      </c>
      <c r="I121" s="11">
        <v>3802.3</v>
      </c>
      <c r="J121" s="11">
        <v>3614.6</v>
      </c>
      <c r="K121" s="11">
        <v>3284.4</v>
      </c>
      <c r="L121" s="11">
        <v>2980.3</v>
      </c>
      <c r="M121" s="11">
        <v>2808.2</v>
      </c>
      <c r="N121" s="11">
        <v>2907.5</v>
      </c>
      <c r="O121" s="11">
        <v>2794.4</v>
      </c>
      <c r="P121" s="11">
        <v>2885.7</v>
      </c>
      <c r="Q121" s="11">
        <v>2808.2</v>
      </c>
      <c r="R121" s="11">
        <v>2775</v>
      </c>
      <c r="S121" s="11">
        <v>2756.9</v>
      </c>
      <c r="T121" s="11">
        <v>2872.7</v>
      </c>
      <c r="U121" s="11">
        <v>2711.1</v>
      </c>
      <c r="V121" s="11">
        <v>2824.4</v>
      </c>
      <c r="W121" s="11">
        <v>2772</v>
      </c>
      <c r="X121" s="11">
        <v>2757</v>
      </c>
      <c r="Y121" s="11">
        <v>2795.6</v>
      </c>
      <c r="Z121" s="11">
        <v>3039.3</v>
      </c>
      <c r="AA121" s="11">
        <v>3042.3</v>
      </c>
      <c r="AB121" s="11">
        <v>3113.8</v>
      </c>
      <c r="AC121" s="3">
        <v>3415.7</v>
      </c>
      <c r="AE121" s="11">
        <v>3864.8</v>
      </c>
      <c r="AF121" s="11">
        <v>3843.7</v>
      </c>
      <c r="AG121" s="11">
        <v>3941.2</v>
      </c>
      <c r="AH121" s="11">
        <v>4182</v>
      </c>
      <c r="AI121" s="11">
        <f>F121</f>
        <v>3940.1</v>
      </c>
      <c r="AJ121" s="11">
        <f>J121</f>
        <v>3614.6</v>
      </c>
      <c r="AK121" s="11">
        <f>N121</f>
        <v>2907.5</v>
      </c>
      <c r="AL121" s="11">
        <f>R121</f>
        <v>2775</v>
      </c>
      <c r="AM121" s="11">
        <f>V121</f>
        <v>2824.4</v>
      </c>
      <c r="AN121" s="11">
        <f>+Z121</f>
        <v>3039.3</v>
      </c>
    </row>
    <row r="122" spans="2:40">
      <c r="B122" s="3" t="s">
        <v>120</v>
      </c>
      <c r="C122" s="11">
        <f t="shared" ref="C122:D122" si="252">C121+C119</f>
        <v>11995.1</v>
      </c>
      <c r="D122" s="11">
        <f t="shared" si="252"/>
        <v>11811.1</v>
      </c>
      <c r="E122" s="11">
        <f t="shared" ref="E122:K122" si="253">E121+E119</f>
        <v>11794.5</v>
      </c>
      <c r="F122" s="11">
        <f t="shared" si="253"/>
        <v>11293.3</v>
      </c>
      <c r="G122" s="11">
        <f t="shared" ref="G122" si="254">G121+G119</f>
        <v>11185.5</v>
      </c>
      <c r="H122" s="11">
        <f t="shared" si="253"/>
        <v>11273.4</v>
      </c>
      <c r="I122" s="11">
        <f t="shared" si="253"/>
        <v>11062.5</v>
      </c>
      <c r="J122" s="11">
        <f t="shared" si="253"/>
        <v>10572.5</v>
      </c>
      <c r="K122" s="11">
        <f t="shared" si="253"/>
        <v>10856.099999999999</v>
      </c>
      <c r="L122" s="11">
        <f t="shared" ref="L122:X122" si="255">L121+L119</f>
        <v>10325.400000000001</v>
      </c>
      <c r="M122" s="11">
        <f t="shared" si="255"/>
        <v>10382.700000000001</v>
      </c>
      <c r="N122" s="11">
        <f t="shared" si="255"/>
        <v>10516</v>
      </c>
      <c r="O122" s="11">
        <f t="shared" si="255"/>
        <v>10308.1</v>
      </c>
      <c r="P122" s="11">
        <f t="shared" si="255"/>
        <v>10341.34</v>
      </c>
      <c r="Q122" s="11">
        <f t="shared" si="255"/>
        <v>10382.700000000001</v>
      </c>
      <c r="R122" s="11">
        <f t="shared" si="255"/>
        <v>10155</v>
      </c>
      <c r="S122" s="11">
        <f t="shared" si="255"/>
        <v>9868.4000000000015</v>
      </c>
      <c r="T122" s="11">
        <f t="shared" si="255"/>
        <v>9698.7999999999993</v>
      </c>
      <c r="U122" s="11">
        <f t="shared" si="255"/>
        <v>9932.4</v>
      </c>
      <c r="V122" s="11">
        <f t="shared" si="255"/>
        <v>10142.099999999999</v>
      </c>
      <c r="W122" s="11">
        <f t="shared" si="255"/>
        <v>10457.700000000001</v>
      </c>
      <c r="X122" s="11">
        <f t="shared" si="255"/>
        <v>10728.7</v>
      </c>
      <c r="Y122" s="11">
        <f t="shared" ref="Y122:AC122" si="256">Y121+Y119</f>
        <v>10413.6</v>
      </c>
      <c r="Z122" s="11">
        <f t="shared" si="256"/>
        <v>10782.5</v>
      </c>
      <c r="AA122" s="11">
        <f t="shared" si="256"/>
        <v>10773.7</v>
      </c>
      <c r="AB122" s="11">
        <f t="shared" si="256"/>
        <v>10876.100000000002</v>
      </c>
      <c r="AC122" s="11">
        <f t="shared" si="256"/>
        <v>11671.3</v>
      </c>
      <c r="AE122" s="11">
        <f t="shared" ref="AE122:AH122" si="257">AE121+AE119</f>
        <v>10411</v>
      </c>
      <c r="AF122" s="11">
        <f t="shared" si="257"/>
        <v>11669.5</v>
      </c>
      <c r="AG122" s="11">
        <f t="shared" si="257"/>
        <v>11673.1</v>
      </c>
      <c r="AH122" s="11">
        <f t="shared" si="257"/>
        <v>11945.7</v>
      </c>
      <c r="AI122" s="11">
        <f t="shared" ref="AI122:AN122" si="258">AI121+AI119</f>
        <v>11293.3</v>
      </c>
      <c r="AJ122" s="11">
        <f t="shared" si="258"/>
        <v>10572.5</v>
      </c>
      <c r="AK122" s="11">
        <f t="shared" si="258"/>
        <v>10516</v>
      </c>
      <c r="AL122" s="11">
        <f t="shared" si="258"/>
        <v>10155</v>
      </c>
      <c r="AM122" s="11">
        <f t="shared" si="258"/>
        <v>10142.099999999999</v>
      </c>
      <c r="AN122" s="11">
        <f t="shared" si="258"/>
        <v>10782.5</v>
      </c>
    </row>
    <row r="123" spans="2:40">
      <c r="C123" s="11"/>
      <c r="D123" s="11"/>
      <c r="E123" s="11"/>
      <c r="F123" s="11"/>
      <c r="G123" s="11"/>
      <c r="H123" s="11"/>
      <c r="J123" s="11"/>
      <c r="K123" s="11"/>
      <c r="L123" s="11"/>
      <c r="U123" s="11"/>
      <c r="AE123" s="11"/>
      <c r="AF123" s="11"/>
      <c r="AG123" s="11"/>
      <c r="AH123" s="11"/>
    </row>
    <row r="124" spans="2:40">
      <c r="B124" s="3" t="s">
        <v>121</v>
      </c>
      <c r="C124" s="11">
        <f t="shared" ref="C124:D124" si="259">C89-C119</f>
        <v>4183.8999999999978</v>
      </c>
      <c r="D124" s="11">
        <f t="shared" si="259"/>
        <v>3990.0999999999985</v>
      </c>
      <c r="E124" s="11">
        <f t="shared" ref="E124" si="260">E89-E119</f>
        <v>3969.7000000000007</v>
      </c>
      <c r="F124" s="11">
        <f t="shared" ref="F124:G124" si="261">F89-F119</f>
        <v>3940.2</v>
      </c>
      <c r="G124" s="11">
        <f t="shared" si="261"/>
        <v>3891.8000000000011</v>
      </c>
      <c r="H124" s="11">
        <f t="shared" ref="H124:I124" si="262">H89-H119</f>
        <v>3910.0999999999995</v>
      </c>
      <c r="I124" s="11">
        <f t="shared" si="262"/>
        <v>3802.3000000000011</v>
      </c>
      <c r="J124" s="11">
        <f t="shared" ref="J124:K124" si="263">J89-J119</f>
        <v>3614.6000000000004</v>
      </c>
      <c r="K124" s="11">
        <f t="shared" si="263"/>
        <v>3284.3999999999996</v>
      </c>
      <c r="L124" s="11">
        <f t="shared" ref="L124:O124" si="264">L89-L119</f>
        <v>2980.3000000000011</v>
      </c>
      <c r="M124" s="11">
        <f t="shared" ref="M124" si="265">M89-M119</f>
        <v>2808.2000000000007</v>
      </c>
      <c r="N124" s="11">
        <f t="shared" si="264"/>
        <v>2907.5</v>
      </c>
      <c r="O124" s="11">
        <f t="shared" si="264"/>
        <v>2794.4000000000005</v>
      </c>
      <c r="P124" s="11">
        <f t="shared" ref="P124:Q124" si="266">P89-P119</f>
        <v>2885.659999999998</v>
      </c>
      <c r="Q124" s="11">
        <f t="shared" si="266"/>
        <v>2808.2000000000007</v>
      </c>
      <c r="R124" s="11">
        <f t="shared" ref="R124" si="267">R89-R119</f>
        <v>2775.0000000000009</v>
      </c>
      <c r="S124" s="11">
        <f>S89-S119</f>
        <v>2756.8999999999987</v>
      </c>
      <c r="T124" s="11">
        <f>T89-T119</f>
        <v>2872.7</v>
      </c>
      <c r="U124" s="11">
        <f t="shared" ref="U124:V124" si="268">U89-U119</f>
        <v>2711.1000000000004</v>
      </c>
      <c r="V124" s="11">
        <f t="shared" si="268"/>
        <v>2824.4000000000033</v>
      </c>
      <c r="W124" s="11">
        <f t="shared" ref="W124:X124" si="269">W89-W119</f>
        <v>2772</v>
      </c>
      <c r="X124" s="11">
        <f t="shared" si="269"/>
        <v>2757</v>
      </c>
      <c r="Y124" s="11">
        <f t="shared" ref="Y124:Z124" si="270">Y89-Y119</f>
        <v>2795.5999999999995</v>
      </c>
      <c r="Z124" s="11">
        <f t="shared" si="270"/>
        <v>3039.3000000000011</v>
      </c>
      <c r="AA124" s="11">
        <f t="shared" ref="AA124:AB124" si="271">AA89-AA119</f>
        <v>3042.3000000000011</v>
      </c>
      <c r="AB124" s="11">
        <f t="shared" si="271"/>
        <v>3113.7999999999975</v>
      </c>
      <c r="AC124" s="11">
        <f t="shared" ref="AC124" si="272">AC89-AC119</f>
        <v>3415.7000000000007</v>
      </c>
      <c r="AE124" s="11">
        <f t="shared" ref="AE124:AF124" si="273">AE89-AE119</f>
        <v>3864.8</v>
      </c>
      <c r="AF124" s="11">
        <f t="shared" si="273"/>
        <v>3843.7000000000007</v>
      </c>
      <c r="AG124" s="11">
        <f t="shared" ref="AG124:AI124" si="274">AG89-AG119</f>
        <v>3932.699999999998</v>
      </c>
      <c r="AH124" s="11">
        <f t="shared" si="274"/>
        <v>4172.5</v>
      </c>
      <c r="AI124" s="11">
        <f t="shared" si="274"/>
        <v>3940.2</v>
      </c>
      <c r="AJ124" s="11">
        <f t="shared" ref="AJ124:AK124" si="275">AJ89-AJ119</f>
        <v>3614.6000000000004</v>
      </c>
      <c r="AK124" s="11">
        <f t="shared" si="275"/>
        <v>2907.5</v>
      </c>
      <c r="AL124" s="11">
        <f>AL89-AL119</f>
        <v>2775.0000000000009</v>
      </c>
      <c r="AM124" s="11">
        <f t="shared" ref="AM124:AN124" si="276">AM89-AM119</f>
        <v>2824.4000000000033</v>
      </c>
      <c r="AN124" s="11">
        <f t="shared" si="276"/>
        <v>3039.3000000000011</v>
      </c>
    </row>
    <row r="125" spans="2:40">
      <c r="B125" s="3" t="s">
        <v>122</v>
      </c>
      <c r="C125" s="3">
        <f t="shared" ref="C125:D125" si="277">C124/C27</f>
        <v>5.705577526251191</v>
      </c>
      <c r="D125" s="3">
        <f t="shared" si="277"/>
        <v>5.4398091342876596</v>
      </c>
      <c r="E125" s="3">
        <f t="shared" ref="E125" si="278">E124/E27</f>
        <v>5.4097846824747897</v>
      </c>
      <c r="F125" s="3">
        <f t="shared" ref="F125:G125" si="279">F124/F27</f>
        <v>5.3673886391499792</v>
      </c>
      <c r="G125" s="3">
        <f t="shared" si="279"/>
        <v>5.2899279597662101</v>
      </c>
      <c r="H125" s="3">
        <f t="shared" ref="H125:I125" si="280">H124/H27</f>
        <v>5.3140799130198415</v>
      </c>
      <c r="I125" s="3">
        <f t="shared" si="280"/>
        <v>5.1675727099755386</v>
      </c>
      <c r="J125" s="3">
        <f t="shared" ref="J125:K125" si="281">J124/J27</f>
        <v>4.911808669656204</v>
      </c>
      <c r="K125" s="3">
        <f t="shared" si="281"/>
        <v>4.4618937644341798</v>
      </c>
      <c r="L125" s="3">
        <f t="shared" ref="L125:M125" si="282">L124/L27</f>
        <v>4.0482205922303738</v>
      </c>
      <c r="M125" s="3">
        <f t="shared" si="282"/>
        <v>3.8144525944036953</v>
      </c>
      <c r="N125" s="3">
        <f t="shared" ref="N125:Q125" si="283">N124/N27</f>
        <v>3.9493344199945666</v>
      </c>
      <c r="O125" s="3">
        <f t="shared" ref="O125" si="284">O124/O27</f>
        <v>3.8019047619047628</v>
      </c>
      <c r="P125" s="3">
        <f t="shared" si="283"/>
        <v>3.9271366358192683</v>
      </c>
      <c r="Q125" s="3">
        <f t="shared" si="283"/>
        <v>3.821720195971694</v>
      </c>
      <c r="R125" s="3">
        <f t="shared" ref="R125" si="285">R124/R27</f>
        <v>3.7770518579011854</v>
      </c>
      <c r="S125" s="3">
        <f>S124/S27</f>
        <v>3.7529267628641421</v>
      </c>
      <c r="T125" s="3">
        <f>T124/T27</f>
        <v>3.9105635720119789</v>
      </c>
      <c r="U125" s="3">
        <f t="shared" ref="U125:V125" si="286">U124/U27</f>
        <v>3.6905799074326167</v>
      </c>
      <c r="V125" s="3">
        <f t="shared" si="286"/>
        <v>3.8442901864706727</v>
      </c>
      <c r="W125" s="3">
        <f t="shared" ref="W125:X125" si="287">W124/W27</f>
        <v>3.7734821671658043</v>
      </c>
      <c r="X125" s="3">
        <f t="shared" si="287"/>
        <v>3.7530628913694528</v>
      </c>
      <c r="Y125" s="3">
        <f t="shared" ref="Y125:Z125" si="288">Y124/Y27</f>
        <v>3.8056084944187303</v>
      </c>
      <c r="Z125" s="3">
        <f t="shared" si="288"/>
        <v>4.1373536618567943</v>
      </c>
      <c r="AA125" s="3">
        <f t="shared" ref="AA125:AB125" si="289">AA124/AA27</f>
        <v>4.1414375170160644</v>
      </c>
      <c r="AB125" s="3">
        <f t="shared" si="289"/>
        <v>4.2387693983120025</v>
      </c>
      <c r="AC125" s="3">
        <f t="shared" ref="AC125" si="290">AC124/AC27</f>
        <v>4.6497413558399137</v>
      </c>
      <c r="AE125" s="3">
        <f t="shared" ref="AE125:AF125" si="291">AE124/AE27</f>
        <v>5.2675480441597387</v>
      </c>
      <c r="AF125" s="3">
        <f t="shared" si="291"/>
        <v>5.2639003012873191</v>
      </c>
      <c r="AG125" s="3">
        <f t="shared" ref="AG125:AI125" si="292">AG124/AG27</f>
        <v>5.3462479608482845</v>
      </c>
      <c r="AH125" s="3">
        <f t="shared" si="292"/>
        <v>5.6822824458668126</v>
      </c>
      <c r="AI125" s="3">
        <f t="shared" si="292"/>
        <v>5.3673886391499792</v>
      </c>
      <c r="AJ125" s="3">
        <f t="shared" ref="AJ125:AK125" si="293">AJ124/AJ27</f>
        <v>4.911808669656204</v>
      </c>
      <c r="AK125" s="3">
        <f t="shared" si="293"/>
        <v>3.9493344199945666</v>
      </c>
      <c r="AL125" s="3">
        <f>AL124/AL27</f>
        <v>3.7770518579011854</v>
      </c>
      <c r="AM125" s="3">
        <f t="shared" ref="AM125:AN125" si="294">AM124/AM27</f>
        <v>3.8448135039477309</v>
      </c>
      <c r="AN125" s="3">
        <f t="shared" si="294"/>
        <v>4.1373536618567943</v>
      </c>
    </row>
    <row r="126" spans="2:40">
      <c r="C126" s="11"/>
      <c r="D126" s="11"/>
      <c r="E126" s="11"/>
      <c r="F126" s="11"/>
      <c r="AG126" s="11"/>
      <c r="AH126" s="11"/>
    </row>
    <row r="127" spans="2:40" s="36" customFormat="1">
      <c r="B127" s="36" t="s">
        <v>6</v>
      </c>
      <c r="C127" s="49">
        <f t="shared" ref="C127:D127" si="295">C63+C64+C76+C78</f>
        <v>3435.7999999999997</v>
      </c>
      <c r="D127" s="49">
        <f t="shared" si="295"/>
        <v>3346.5</v>
      </c>
      <c r="E127" s="49">
        <f t="shared" ref="E127" si="296">E63+E64+E76+E78</f>
        <v>3147.6</v>
      </c>
      <c r="F127" s="49">
        <f t="shared" ref="F127:G127" si="297">F63+F64+F76+F78</f>
        <v>3211.9</v>
      </c>
      <c r="G127" s="49">
        <f t="shared" si="297"/>
        <v>2485.4999999999995</v>
      </c>
      <c r="H127" s="49">
        <f t="shared" ref="H127:I127" si="298">H63+H64+H76+H78</f>
        <v>2480.8999999999996</v>
      </c>
      <c r="I127" s="49">
        <f t="shared" si="298"/>
        <v>2177.2000000000003</v>
      </c>
      <c r="J127" s="49">
        <f t="shared" ref="J127:K127" si="299">J63+J64+J76+J78</f>
        <v>2780.6</v>
      </c>
      <c r="K127" s="49">
        <f t="shared" si="299"/>
        <v>2501.1</v>
      </c>
      <c r="L127" s="49">
        <f t="shared" ref="L127:O127" si="300">L63+L64+L76+L78</f>
        <v>1998.9</v>
      </c>
      <c r="M127" s="49">
        <f t="shared" ref="M127" si="301">M63+M64+M76+M78</f>
        <v>2503.6999999999998</v>
      </c>
      <c r="N127" s="49">
        <f t="shared" si="300"/>
        <v>2753.6</v>
      </c>
      <c r="O127" s="49">
        <f t="shared" si="300"/>
        <v>2463.4</v>
      </c>
      <c r="P127" s="49">
        <f t="shared" ref="P127:Q127" si="302">P63+P64+P76+P78</f>
        <v>2514.3000000000002</v>
      </c>
      <c r="Q127" s="49">
        <f t="shared" si="302"/>
        <v>2503.6999999999998</v>
      </c>
      <c r="R127" s="49">
        <f t="shared" ref="R127" si="303">R63+R64+R76+R78</f>
        <v>2634.7</v>
      </c>
      <c r="S127" s="49">
        <f t="shared" ref="S127" si="304">S63+S64+S76+S78</f>
        <v>2104.1999999999998</v>
      </c>
      <c r="T127" s="49">
        <f>T63+T64+T76+T78</f>
        <v>1968.2</v>
      </c>
      <c r="U127" s="49">
        <f t="shared" ref="U127:V127" si="305">U63+U64+U76+U78</f>
        <v>1863.1</v>
      </c>
      <c r="V127" s="49">
        <f t="shared" si="305"/>
        <v>2487</v>
      </c>
      <c r="W127" s="49">
        <f t="shared" ref="W127:X127" si="306">W63+W64+W76+W78</f>
        <v>2201.1</v>
      </c>
      <c r="X127" s="49">
        <f t="shared" si="306"/>
        <v>2297</v>
      </c>
      <c r="Y127" s="49">
        <f t="shared" ref="Y127:Z127" si="307">Y63+Y64+Y76+Y78</f>
        <v>1752.2</v>
      </c>
      <c r="Z127" s="49">
        <f t="shared" si="307"/>
        <v>2320.9</v>
      </c>
      <c r="AA127" s="49">
        <f t="shared" ref="AA127:AB127" si="308">AA63+AA64+AA76+AA78</f>
        <v>1758.5</v>
      </c>
      <c r="AB127" s="49">
        <f t="shared" si="308"/>
        <v>1507.1</v>
      </c>
      <c r="AC127" s="49">
        <f t="shared" ref="AC127" si="309">AC63+AC64+AC76+AC78</f>
        <v>1772</v>
      </c>
      <c r="AE127" s="49">
        <f t="shared" ref="AE127:AF127" si="310">AE63+AE64+AE76+AE78</f>
        <v>2482.1</v>
      </c>
      <c r="AF127" s="49">
        <f t="shared" si="310"/>
        <v>3546.8999999999996</v>
      </c>
      <c r="AG127" s="49">
        <f t="shared" ref="AG127:AI127" si="311">AG63+AG64+AG76+AG78</f>
        <v>3196.2999999999997</v>
      </c>
      <c r="AH127" s="49">
        <f t="shared" si="311"/>
        <v>3892.5</v>
      </c>
      <c r="AI127" s="49">
        <f t="shared" si="311"/>
        <v>3211.9</v>
      </c>
      <c r="AJ127" s="49">
        <f t="shared" ref="AJ127:AK127" si="312">AJ63+AJ64+AJ76+AJ78</f>
        <v>2780.6</v>
      </c>
      <c r="AK127" s="49">
        <f t="shared" si="312"/>
        <v>2753.6</v>
      </c>
      <c r="AL127" s="49">
        <f>AL63+AL64+AL76+AL78</f>
        <v>2634.7</v>
      </c>
      <c r="AM127" s="49">
        <f t="shared" ref="AM127:AN127" si="313">AM63+AM64+AM76+AM78</f>
        <v>2487</v>
      </c>
      <c r="AN127" s="49">
        <f t="shared" si="313"/>
        <v>2320.9</v>
      </c>
    </row>
    <row r="128" spans="2:40" s="36" customFormat="1">
      <c r="B128" s="36" t="s">
        <v>7</v>
      </c>
      <c r="C128" s="49">
        <f t="shared" ref="C128:D128" si="314">C94+C98+C108+C95+C109</f>
        <v>4559.1000000000004</v>
      </c>
      <c r="D128" s="49">
        <f t="shared" si="314"/>
        <v>4452.8</v>
      </c>
      <c r="E128" s="49">
        <f t="shared" ref="E128" si="315">E94+E98+E108+E95+E109</f>
        <v>4399.8</v>
      </c>
      <c r="F128" s="49">
        <f t="shared" ref="F128:G128" si="316">F94+F98+F108+F95+F109</f>
        <v>3997.2000000000003</v>
      </c>
      <c r="G128" s="49">
        <f t="shared" si="316"/>
        <v>3928.3</v>
      </c>
      <c r="H128" s="49">
        <f t="shared" ref="H128:I128" si="317">H94+H98+H108+H95+H109</f>
        <v>3879.5</v>
      </c>
      <c r="I128" s="49">
        <f t="shared" si="317"/>
        <v>3811.6</v>
      </c>
      <c r="J128" s="49">
        <f t="shared" ref="J128:K128" si="318">J94+J98+J108+J95+J109</f>
        <v>3414.4</v>
      </c>
      <c r="K128" s="49">
        <f t="shared" si="318"/>
        <v>3862.2</v>
      </c>
      <c r="L128" s="49">
        <f>L94+L98+L108+L95+L109</f>
        <v>3826.3999999999996</v>
      </c>
      <c r="M128" s="49">
        <f t="shared" ref="M128" si="319">M94+M98+M108+M95+M109</f>
        <v>4310.1000000000004</v>
      </c>
      <c r="N128" s="49">
        <f>N94+N98+N108+N95+N109</f>
        <v>4449.2</v>
      </c>
      <c r="O128" s="49">
        <f t="shared" ref="O128" si="320">O94+O98+O108+O95+O109</f>
        <v>4380</v>
      </c>
      <c r="P128" s="49">
        <f t="shared" ref="P128:T128" si="321">P94+P98+P108+P95+P109</f>
        <v>4334.0999999999995</v>
      </c>
      <c r="Q128" s="49">
        <f t="shared" si="321"/>
        <v>4310.1000000000004</v>
      </c>
      <c r="R128" s="49">
        <f t="shared" si="321"/>
        <v>4029.7999999999997</v>
      </c>
      <c r="S128" s="49">
        <f t="shared" si="321"/>
        <v>3559</v>
      </c>
      <c r="T128" s="49">
        <f t="shared" si="321"/>
        <v>3173.8999999999996</v>
      </c>
      <c r="U128" s="49">
        <f t="shared" ref="U128:V128" si="322">U94+U98+U108+U95+U109</f>
        <v>3236.3</v>
      </c>
      <c r="V128" s="49">
        <f t="shared" si="322"/>
        <v>3260.6</v>
      </c>
      <c r="W128" s="49">
        <f t="shared" ref="W128:X128" si="323">W94+W98+W108+W95+W109</f>
        <v>3399</v>
      </c>
      <c r="X128" s="49">
        <f t="shared" si="323"/>
        <v>3584.8999999999996</v>
      </c>
      <c r="Y128" s="49">
        <f t="shared" ref="Y128:Z128" si="324">Y94+Y98+Y108+Y95+Y109</f>
        <v>2951.9</v>
      </c>
      <c r="Z128" s="49">
        <f t="shared" si="324"/>
        <v>2972.1000000000004</v>
      </c>
      <c r="AA128" s="49">
        <f t="shared" ref="AA128:AB128" si="325">AA94+AA98+AA108+AA95+AA109</f>
        <v>2686.1000000000004</v>
      </c>
      <c r="AB128" s="49">
        <f t="shared" si="325"/>
        <v>2714.8</v>
      </c>
      <c r="AC128" s="49">
        <f t="shared" ref="AC128" si="326">AC94+AC98+AC108+AC95+AC109</f>
        <v>2675.3</v>
      </c>
      <c r="AE128" s="49">
        <f t="shared" ref="AE128:AF128" si="327">AE94+AE98+AE108+AE95+AE109</f>
        <v>2923.5</v>
      </c>
      <c r="AF128" s="49">
        <f t="shared" si="327"/>
        <v>3927.5999999999995</v>
      </c>
      <c r="AG128" s="49">
        <f t="shared" ref="AG128:AH128" si="328">AG94+AG98+AG108+AG95+AG109</f>
        <v>4142.2000000000007</v>
      </c>
      <c r="AH128" s="49">
        <f t="shared" si="328"/>
        <v>4571.4000000000005</v>
      </c>
      <c r="AI128" s="49">
        <f t="shared" ref="AI128:AJ128" si="329">AI94+AI98+AI108+AI95+AI109</f>
        <v>3997.2000000000003</v>
      </c>
      <c r="AJ128" s="49">
        <f t="shared" si="329"/>
        <v>3414.4</v>
      </c>
      <c r="AK128" s="49">
        <f t="shared" ref="AK128:AL128" si="330">AK94+AK98+AK108+AK95+AK109</f>
        <v>4449.2</v>
      </c>
      <c r="AL128" s="49">
        <f t="shared" si="330"/>
        <v>4029.7999999999997</v>
      </c>
      <c r="AM128" s="49">
        <f t="shared" ref="AM128:AN128" si="331">AM94+AM98+AM108+AM95+AM109</f>
        <v>3260.6</v>
      </c>
      <c r="AN128" s="49">
        <f t="shared" si="331"/>
        <v>2972.1000000000004</v>
      </c>
    </row>
    <row r="129" spans="2:40">
      <c r="B129" s="3" t="s">
        <v>8</v>
      </c>
      <c r="C129" s="11">
        <f t="shared" ref="C129:D129" si="332">C127-C128</f>
        <v>-1123.3000000000006</v>
      </c>
      <c r="D129" s="11">
        <f t="shared" si="332"/>
        <v>-1106.3000000000002</v>
      </c>
      <c r="E129" s="11">
        <f t="shared" ref="E129" si="333">E127-E128</f>
        <v>-1252.2000000000003</v>
      </c>
      <c r="F129" s="11">
        <f t="shared" ref="F129:G129" si="334">F127-F128</f>
        <v>-785.30000000000018</v>
      </c>
      <c r="G129" s="11">
        <f t="shared" si="334"/>
        <v>-1442.8000000000006</v>
      </c>
      <c r="H129" s="11">
        <f t="shared" ref="H129:I129" si="335">H127-H128</f>
        <v>-1398.6000000000004</v>
      </c>
      <c r="I129" s="11">
        <f t="shared" si="335"/>
        <v>-1634.3999999999996</v>
      </c>
      <c r="J129" s="11">
        <f t="shared" ref="J129:K129" si="336">J127-J128</f>
        <v>-633.80000000000018</v>
      </c>
      <c r="K129" s="11">
        <f t="shared" si="336"/>
        <v>-1361.1</v>
      </c>
      <c r="L129" s="11">
        <f t="shared" ref="L129:M129" si="337">L127-L128</f>
        <v>-1827.4999999999995</v>
      </c>
      <c r="M129" s="11">
        <f t="shared" si="337"/>
        <v>-1806.4000000000005</v>
      </c>
      <c r="N129" s="11">
        <f t="shared" ref="N129:R129" si="338">N127-N128</f>
        <v>-1695.6</v>
      </c>
      <c r="O129" s="11">
        <f t="shared" ref="O129" si="339">O127-O128</f>
        <v>-1916.6</v>
      </c>
      <c r="P129" s="11">
        <f t="shared" si="338"/>
        <v>-1819.7999999999993</v>
      </c>
      <c r="Q129" s="11">
        <f t="shared" si="338"/>
        <v>-1806.4000000000005</v>
      </c>
      <c r="R129" s="11">
        <f t="shared" si="338"/>
        <v>-1395.1</v>
      </c>
      <c r="S129" s="11">
        <f>S127-S128</f>
        <v>-1454.8000000000002</v>
      </c>
      <c r="T129" s="11">
        <f>T127-T128</f>
        <v>-1205.6999999999996</v>
      </c>
      <c r="U129" s="11">
        <f t="shared" ref="U129:V129" si="340">U127-U128</f>
        <v>-1373.2000000000003</v>
      </c>
      <c r="V129" s="11">
        <f t="shared" si="340"/>
        <v>-773.59999999999991</v>
      </c>
      <c r="W129" s="11">
        <f t="shared" ref="W129:X129" si="341">W127-W128</f>
        <v>-1197.9000000000001</v>
      </c>
      <c r="X129" s="11">
        <f t="shared" si="341"/>
        <v>-1287.8999999999996</v>
      </c>
      <c r="Y129" s="11">
        <f t="shared" ref="Y129:Z129" si="342">Y127-Y128</f>
        <v>-1199.7</v>
      </c>
      <c r="Z129" s="11">
        <f t="shared" si="342"/>
        <v>-651.20000000000027</v>
      </c>
      <c r="AA129" s="11">
        <f t="shared" ref="AA129:AB129" si="343">AA127-AA128</f>
        <v>-927.60000000000036</v>
      </c>
      <c r="AB129" s="11">
        <f t="shared" si="343"/>
        <v>-1207.7000000000003</v>
      </c>
      <c r="AC129" s="11">
        <f t="shared" ref="AC129" si="344">AC127-AC128</f>
        <v>-903.30000000000018</v>
      </c>
      <c r="AE129" s="11">
        <f t="shared" ref="AE129:AF129" si="345">AE127-AE128</f>
        <v>-441.40000000000009</v>
      </c>
      <c r="AF129" s="11">
        <f t="shared" si="345"/>
        <v>-380.69999999999982</v>
      </c>
      <c r="AG129" s="11">
        <f t="shared" ref="AG129:AI129" si="346">AG127-AG128</f>
        <v>-945.900000000001</v>
      </c>
      <c r="AH129" s="11">
        <f t="shared" si="346"/>
        <v>-678.90000000000055</v>
      </c>
      <c r="AI129" s="11">
        <f t="shared" si="346"/>
        <v>-785.30000000000018</v>
      </c>
      <c r="AJ129" s="11">
        <f t="shared" ref="AJ129:AK129" si="347">AJ127-AJ128</f>
        <v>-633.80000000000018</v>
      </c>
      <c r="AK129" s="11">
        <f t="shared" si="347"/>
        <v>-1695.6</v>
      </c>
      <c r="AL129" s="11">
        <f>AL127-AL128</f>
        <v>-1395.1</v>
      </c>
      <c r="AM129" s="11">
        <f t="shared" ref="AM129:AN129" si="348">AM127-AM128</f>
        <v>-773.59999999999991</v>
      </c>
      <c r="AN129" s="11">
        <f t="shared" si="348"/>
        <v>-651.20000000000027</v>
      </c>
    </row>
    <row r="131" spans="2:40" s="2" customFormat="1">
      <c r="B131" s="2" t="s">
        <v>134</v>
      </c>
      <c r="C131" s="13" t="s">
        <v>186</v>
      </c>
      <c r="D131" s="13" t="s">
        <v>186</v>
      </c>
      <c r="E131" s="13" t="s">
        <v>186</v>
      </c>
      <c r="F131" s="13" t="s">
        <v>186</v>
      </c>
      <c r="G131" s="31">
        <f t="shared" ref="G131" si="349">G70/C70-1</f>
        <v>0.20714400903080143</v>
      </c>
      <c r="H131" s="31">
        <f t="shared" ref="H131" si="350">H70/D70-1</f>
        <v>0.18512820512820527</v>
      </c>
      <c r="I131" s="31">
        <f t="shared" ref="I131" si="351">I70/E70-1</f>
        <v>0.10459366489895361</v>
      </c>
      <c r="J131" s="31">
        <f t="shared" ref="J131:L131" si="352">J70/F70-1</f>
        <v>-4.9062624650977216E-2</v>
      </c>
      <c r="K131" s="31">
        <f t="shared" ref="K131" si="353">K70/G70-1</f>
        <v>-2.3011154899472142E-2</v>
      </c>
      <c r="L131" s="31">
        <f t="shared" si="352"/>
        <v>4.1440601804080712E-2</v>
      </c>
      <c r="M131" s="31">
        <f t="shared" ref="M131" si="354">M70/I70-1</f>
        <v>-0.25227884646576049</v>
      </c>
      <c r="N131" s="31">
        <f t="shared" ref="N131" si="355">N70/J70-1</f>
        <v>2.2609060402684511E-2</v>
      </c>
      <c r="O131" s="31">
        <f t="shared" ref="O131" si="356">O70/K70-1</f>
        <v>-0.15109561412504702</v>
      </c>
      <c r="P131" s="31">
        <f t="shared" ref="P131:S131" si="357">P70/L70-1</f>
        <v>-0.26009971874200977</v>
      </c>
      <c r="Q131" s="31">
        <f t="shared" si="357"/>
        <v>0</v>
      </c>
      <c r="R131" s="31">
        <f t="shared" si="357"/>
        <v>-0.18536445301283899</v>
      </c>
      <c r="S131" s="31">
        <f t="shared" si="357"/>
        <v>-0.10490073692264323</v>
      </c>
      <c r="T131" s="31">
        <f>T70/P70-1</f>
        <v>3.36501079913607E-2</v>
      </c>
      <c r="U131" s="31">
        <f t="shared" ref="U131" si="358">U70/Q70-1</f>
        <v>0.16208242950108454</v>
      </c>
      <c r="V131" s="31">
        <f t="shared" ref="V131" si="359">V70/R70-1</f>
        <v>0.17270896273917424</v>
      </c>
      <c r="W131" s="31">
        <f t="shared" ref="W131" si="360">W70/S70-1</f>
        <v>0.26120208745726115</v>
      </c>
      <c r="X131" s="31">
        <f t="shared" ref="X131" si="361">X70/T70-1</f>
        <v>0.20727986961427547</v>
      </c>
      <c r="Y131" s="31">
        <f t="shared" ref="Y131" si="362">Y70/U70-1</f>
        <v>0.13981184200701868</v>
      </c>
      <c r="Z131" s="31">
        <f t="shared" ref="Z131" si="363">Z70/V70-1</f>
        <v>0.13181623014169164</v>
      </c>
      <c r="AA131" s="31">
        <f t="shared" ref="AA131" si="364">AA70/W70-1</f>
        <v>0.11318399086823128</v>
      </c>
      <c r="AB131" s="31">
        <f t="shared" ref="AB131" si="365">AB70/X70-1</f>
        <v>0.12357644778289312</v>
      </c>
      <c r="AC131" s="31">
        <f t="shared" ref="AC131" si="366">AC70/Y70-1</f>
        <v>9.4101077593266025E-2</v>
      </c>
      <c r="AE131" s="13" t="s">
        <v>186</v>
      </c>
      <c r="AF131" s="31">
        <f t="shared" ref="AF131" si="367">AF70/AE70-1</f>
        <v>-3.7708393963331033E-2</v>
      </c>
      <c r="AG131" s="31">
        <f t="shared" ref="AG131" si="368">AG70/AF70-1</f>
        <v>7.8544888965696114E-2</v>
      </c>
      <c r="AH131" s="31">
        <f t="shared" ref="AH131" si="369">AH70/AG70-1</f>
        <v>-0.13928056401217759</v>
      </c>
      <c r="AI131" s="31">
        <f t="shared" ref="AI131" si="370">AI70/AH70-1</f>
        <v>0.16675198957509196</v>
      </c>
      <c r="AJ131" s="31">
        <f t="shared" ref="AJ131" si="371">AJ70/AI70-1</f>
        <v>-4.9062624650977216E-2</v>
      </c>
      <c r="AK131" s="31">
        <f t="shared" ref="AK131" si="372">AK70/AJ70-1</f>
        <v>2.2609060402684511E-2</v>
      </c>
      <c r="AL131" s="31">
        <f>AL70/AK70-1</f>
        <v>-0.18536445301283899</v>
      </c>
      <c r="AM131" s="31">
        <f t="shared" ref="AM131" si="373">AM70/AL70-1</f>
        <v>0.17270896273917424</v>
      </c>
      <c r="AN131" s="31">
        <f t="shared" ref="AN131" si="374">AN70/AM70-1</f>
        <v>0.13181623014169164</v>
      </c>
    </row>
    <row r="132" spans="2:40">
      <c r="B132" s="3" t="s">
        <v>135</v>
      </c>
      <c r="C132" s="13" t="s">
        <v>186</v>
      </c>
      <c r="D132" s="24">
        <f t="shared" ref="D132" si="375">D70/C70-1</f>
        <v>2.2012578616352085E-2</v>
      </c>
      <c r="E132" s="24">
        <f t="shared" ref="E132" si="376">E70/D70-1</f>
        <v>0.10090729783037489</v>
      </c>
      <c r="F132" s="24">
        <f t="shared" ref="F132" si="377">F70/E70-1</f>
        <v>-0.10169127132005162</v>
      </c>
      <c r="G132" s="24">
        <f t="shared" ref="G132" si="378">G70/F70-1</f>
        <v>0.19433585959313904</v>
      </c>
      <c r="H132" s="24">
        <f t="shared" ref="H132" si="379">H70/G70-1</f>
        <v>3.3731881637835137E-3</v>
      </c>
      <c r="I132" s="24">
        <f t="shared" ref="I132" si="380">I70/H70-1</f>
        <v>2.6095929168192145E-2</v>
      </c>
      <c r="J132" s="24">
        <f t="shared" ref="J132" si="381">J70/I70-1</f>
        <v>-0.22665196094332885</v>
      </c>
      <c r="K132" s="24">
        <f t="shared" ref="K132:P132" si="382">K70/J70-1</f>
        <v>0.22705536912751678</v>
      </c>
      <c r="L132" s="24">
        <f t="shared" si="382"/>
        <v>6.9565514648070259E-2</v>
      </c>
      <c r="M132" s="24">
        <f t="shared" si="382"/>
        <v>-0.26329583226796216</v>
      </c>
      <c r="N132" s="24">
        <f t="shared" si="382"/>
        <v>5.7657266811279806E-2</v>
      </c>
      <c r="O132" s="24">
        <f t="shared" si="382"/>
        <v>1.862258501169034E-2</v>
      </c>
      <c r="P132" s="24">
        <f t="shared" si="382"/>
        <v>-6.7772721781500511E-2</v>
      </c>
      <c r="Q132" s="24">
        <f>Q70/P70-1</f>
        <v>-4.3196544276458138E-3</v>
      </c>
      <c r="R132" s="24">
        <f t="shared" ref="R132:S132" si="383">R70/Q70-1</f>
        <v>-0.13839479392624732</v>
      </c>
      <c r="S132" s="24">
        <f t="shared" si="383"/>
        <v>0.11923464249748239</v>
      </c>
      <c r="T132" s="24">
        <f>T70/S70-1</f>
        <v>7.6525103473096934E-2</v>
      </c>
      <c r="U132" s="24">
        <f t="shared" ref="U132" si="384">U70/T70-1</f>
        <v>0.1193948765096744</v>
      </c>
      <c r="V132" s="24">
        <f t="shared" ref="V132" si="385">V70/U70-1</f>
        <v>-0.13051594116329424</v>
      </c>
      <c r="W132" s="24">
        <f t="shared" ref="W132" si="386">W70/V70-1</f>
        <v>0.20369257191927881</v>
      </c>
      <c r="X132" s="24">
        <f t="shared" ref="X132" si="387">X70/W70-1</f>
        <v>3.0498680174074311E-2</v>
      </c>
      <c r="Y132" s="24">
        <f t="shared" ref="Y132" si="388">Y70/X70-1</f>
        <v>5.6838242929834859E-2</v>
      </c>
      <c r="Z132" s="24">
        <f t="shared" ref="Z132" si="389">Z70/Y70-1</f>
        <v>-0.1366152435229766</v>
      </c>
      <c r="AA132" s="24">
        <f t="shared" ref="AA132" si="390">AA70/Z70-1</f>
        <v>0.18387708649468881</v>
      </c>
      <c r="AB132" s="24">
        <f t="shared" ref="AB132" si="391">AB70/AA70-1</f>
        <v>4.0119204024738231E-2</v>
      </c>
      <c r="AC132" s="24">
        <f t="shared" ref="AC132" si="392">AC70/AB70-1</f>
        <v>2.9113651067500523E-2</v>
      </c>
      <c r="AE132" s="13" t="s">
        <v>186</v>
      </c>
      <c r="AF132" s="13" t="s">
        <v>186</v>
      </c>
      <c r="AG132" s="13" t="s">
        <v>186</v>
      </c>
      <c r="AH132" s="13" t="s">
        <v>186</v>
      </c>
      <c r="AI132" s="13" t="s">
        <v>186</v>
      </c>
      <c r="AJ132" s="13" t="s">
        <v>186</v>
      </c>
      <c r="AK132" s="13" t="s">
        <v>186</v>
      </c>
      <c r="AL132" s="13" t="s">
        <v>186</v>
      </c>
      <c r="AM132" s="13" t="s">
        <v>186</v>
      </c>
      <c r="AN132" s="13" t="s">
        <v>186</v>
      </c>
    </row>
    <row r="133" spans="2:40">
      <c r="C133" s="13"/>
    </row>
    <row r="134" spans="2:40">
      <c r="B134" s="3" t="s">
        <v>136</v>
      </c>
      <c r="C134" s="13" t="s">
        <v>186</v>
      </c>
      <c r="D134" s="13" t="s">
        <v>186</v>
      </c>
      <c r="E134" s="13" t="s">
        <v>186</v>
      </c>
      <c r="F134" s="13" t="s">
        <v>186</v>
      </c>
      <c r="G134" s="24">
        <f t="shared" ref="G134" si="393">G70/SUM(D9:G9)</f>
        <v>0.60651852452042865</v>
      </c>
      <c r="H134" s="24">
        <f t="shared" ref="H134" si="394">H70/SUM(E9:H9)</f>
        <v>0.59386427879578574</v>
      </c>
      <c r="I134" s="24">
        <f t="shared" ref="I134" si="395">I70/SUM(F9:I9)</f>
        <v>0.60740463430012614</v>
      </c>
      <c r="J134" s="24">
        <f t="shared" ref="J134" si="396">J70/SUM(G9:J9)</f>
        <v>0.43642221652692853</v>
      </c>
      <c r="K134" s="24">
        <f t="shared" ref="K134" si="397">K70/SUM(H9:K9)</f>
        <v>0.55475906013540421</v>
      </c>
      <c r="L134" s="24">
        <f t="shared" ref="L134" si="398">L70/SUM(I9:L9)</f>
        <v>0.70602039895297419</v>
      </c>
      <c r="M134" s="24">
        <f t="shared" ref="M134" si="399">M70/SUM(J9:M9)</f>
        <v>0.57414003537001523</v>
      </c>
      <c r="N134" s="24">
        <f t="shared" ref="N134" si="400">N70/SUM(K9:N9)</f>
        <v>0.64646919996817898</v>
      </c>
      <c r="O134" s="24">
        <f t="shared" ref="O134" si="401">O70/SUM(L9:O9)</f>
        <v>0.62954418698980885</v>
      </c>
      <c r="P134" s="24">
        <f t="shared" ref="P134:S134" si="402">P70/SUM(M9:P9)</f>
        <v>0.51014786575288118</v>
      </c>
      <c r="Q134" s="24">
        <f t="shared" si="402"/>
        <v>0.48656407658370798</v>
      </c>
      <c r="R134" s="24">
        <f t="shared" si="402"/>
        <v>0.47317259125131039</v>
      </c>
      <c r="S134" s="24">
        <f t="shared" si="402"/>
        <v>0.55698105642978857</v>
      </c>
      <c r="T134" s="24">
        <f>T70/SUM(Q9:T9)</f>
        <v>0.61685399051350787</v>
      </c>
      <c r="U134" s="24">
        <f t="shared" ref="U134" si="403">U70/SUM(R9:U9)</f>
        <v>0.69572218903405103</v>
      </c>
      <c r="V134" s="24">
        <f t="shared" ref="V134" si="404">V70/SUM(S9:V9)</f>
        <v>0.51295040084574051</v>
      </c>
      <c r="W134" s="24">
        <f t="shared" ref="W134:X134" si="405">W70/SUM(T9:W9)</f>
        <v>0.60207894849877586</v>
      </c>
      <c r="X134" s="24">
        <f t="shared" si="405"/>
        <v>0.58603132099967548</v>
      </c>
      <c r="Y134" s="24">
        <f t="shared" ref="Y134:Z134" si="406">Y70/SUM(V9:Y9)</f>
        <v>0.5776915799432355</v>
      </c>
      <c r="Z134" s="24">
        <f t="shared" si="406"/>
        <v>0.5003321628547025</v>
      </c>
      <c r="AA134" s="24">
        <f t="shared" ref="AA134:AC134" si="407">AA70/SUM(X9:AA9)</f>
        <v>0.57277365832170912</v>
      </c>
      <c r="AB134" s="24">
        <f t="shared" si="407"/>
        <v>0.57446507265100955</v>
      </c>
      <c r="AC134" s="24">
        <f t="shared" si="407"/>
        <v>0.55137579849132601</v>
      </c>
      <c r="AE134" s="24">
        <f t="shared" ref="AE134:AH134" si="408">AE70/AE9</f>
        <v>0.38247360386719248</v>
      </c>
      <c r="AF134" s="24">
        <f t="shared" si="408"/>
        <v>0.39044550530524108</v>
      </c>
      <c r="AG134" s="24">
        <f t="shared" si="408"/>
        <v>0.40151186168073988</v>
      </c>
      <c r="AH134" s="24">
        <f t="shared" si="408"/>
        <v>0.36797218844724533</v>
      </c>
      <c r="AI134" s="24">
        <f t="shared" ref="AI134:AK134" si="409">AI70/AI9</f>
        <v>0.49437005777839121</v>
      </c>
      <c r="AJ134" s="24">
        <f t="shared" si="409"/>
        <v>0.43642221652692853</v>
      </c>
      <c r="AK134" s="24">
        <f t="shared" si="409"/>
        <v>0.64646919996817909</v>
      </c>
      <c r="AL134" s="24">
        <f>AL70/AL9</f>
        <v>0.47317259125131039</v>
      </c>
      <c r="AM134" s="24">
        <f t="shared" ref="AM134:AN134" si="410">AM70/AM9</f>
        <v>0.51295040084574051</v>
      </c>
      <c r="AN134" s="24">
        <f t="shared" si="410"/>
        <v>0.5003321628547025</v>
      </c>
    </row>
    <row r="136" spans="2:40">
      <c r="B136" s="3" t="s">
        <v>177</v>
      </c>
      <c r="C136" s="67">
        <v>26</v>
      </c>
      <c r="D136" s="67">
        <v>24.9</v>
      </c>
      <c r="E136" s="67">
        <v>19.59</v>
      </c>
      <c r="F136" s="67">
        <v>22.13</v>
      </c>
      <c r="G136" s="67">
        <v>19.010000000000002</v>
      </c>
      <c r="H136" s="3">
        <v>20.22</v>
      </c>
      <c r="I136" s="3">
        <v>17.25</v>
      </c>
      <c r="J136" s="3">
        <v>19.489999999999998</v>
      </c>
      <c r="K136" s="3">
        <v>7.22</v>
      </c>
      <c r="L136" s="3">
        <v>5.98</v>
      </c>
      <c r="M136" s="3">
        <v>4.41</v>
      </c>
      <c r="N136" s="3">
        <v>6.81</v>
      </c>
      <c r="O136" s="3">
        <v>9.9600000000000009</v>
      </c>
      <c r="P136" s="3">
        <v>15.14</v>
      </c>
      <c r="Q136" s="11">
        <v>17</v>
      </c>
      <c r="R136" s="3">
        <v>13.9</v>
      </c>
      <c r="S136" s="3">
        <v>12.61</v>
      </c>
      <c r="T136" s="3">
        <v>8.7799999999999994</v>
      </c>
      <c r="U136" s="3">
        <v>8.6</v>
      </c>
      <c r="V136" s="3">
        <v>10.93</v>
      </c>
      <c r="W136" s="3">
        <v>16.37</v>
      </c>
      <c r="X136" s="3">
        <v>15.46</v>
      </c>
      <c r="Y136" s="3">
        <v>13.72</v>
      </c>
      <c r="Z136" s="3">
        <v>18.45</v>
      </c>
      <c r="AA136" s="3">
        <v>26.64</v>
      </c>
      <c r="AB136" s="3">
        <v>26.04</v>
      </c>
      <c r="AC136" s="3">
        <v>35.369999999999997</v>
      </c>
      <c r="AE136" s="3">
        <v>36.86</v>
      </c>
      <c r="AF136" s="3">
        <v>29.54</v>
      </c>
      <c r="AG136" s="3">
        <v>19.25</v>
      </c>
      <c r="AH136" s="3">
        <v>23.93</v>
      </c>
      <c r="AI136" s="67">
        <f>F136</f>
        <v>22.13</v>
      </c>
      <c r="AJ136" s="3">
        <f>J136</f>
        <v>19.489999999999998</v>
      </c>
      <c r="AK136" s="3">
        <f>N136</f>
        <v>6.81</v>
      </c>
      <c r="AL136" s="3">
        <f>R136</f>
        <v>13.9</v>
      </c>
      <c r="AM136" s="3">
        <f>V136</f>
        <v>10.93</v>
      </c>
      <c r="AN136" s="3">
        <v>18.45</v>
      </c>
    </row>
    <row r="137" spans="2:40" s="11" customFormat="1">
      <c r="B137" s="11" t="s">
        <v>178</v>
      </c>
      <c r="C137" s="11">
        <f t="shared" ref="C137:G137" si="411">C136*C27</f>
        <v>19065.8</v>
      </c>
      <c r="D137" s="11">
        <f t="shared" si="411"/>
        <v>18264.149999999998</v>
      </c>
      <c r="E137" s="11">
        <f t="shared" si="411"/>
        <v>14375.142</v>
      </c>
      <c r="F137" s="11">
        <f t="shared" si="411"/>
        <v>16245.633</v>
      </c>
      <c r="G137" s="11">
        <f t="shared" si="411"/>
        <v>13985.657000000003</v>
      </c>
      <c r="H137" s="11">
        <f t="shared" ref="H137:I137" si="412">H136*H27</f>
        <v>14877.875999999998</v>
      </c>
      <c r="I137" s="11">
        <f t="shared" si="412"/>
        <v>12692.55</v>
      </c>
      <c r="J137" s="11">
        <f t="shared" ref="J137:K137" si="413">J136*J27</f>
        <v>14342.690999999999</v>
      </c>
      <c r="K137" s="11">
        <f t="shared" si="413"/>
        <v>5314.6419999999998</v>
      </c>
      <c r="L137" s="11">
        <f t="shared" ref="L137" si="414">L136*L27</f>
        <v>4402.4760000000006</v>
      </c>
      <c r="M137" s="11">
        <f t="shared" ref="M137:T137" si="415">M136*M27</f>
        <v>3246.6420000000003</v>
      </c>
      <c r="N137" s="11">
        <f t="shared" si="415"/>
        <v>5013.5219999999999</v>
      </c>
      <c r="O137" s="11">
        <f t="shared" si="415"/>
        <v>7320.6</v>
      </c>
      <c r="P137" s="11">
        <f t="shared" si="415"/>
        <v>11124.871999999999</v>
      </c>
      <c r="Q137" s="11">
        <f t="shared" si="415"/>
        <v>12491.599999999999</v>
      </c>
      <c r="R137" s="11">
        <f t="shared" si="415"/>
        <v>10212.330000000002</v>
      </c>
      <c r="S137" s="11">
        <f t="shared" si="415"/>
        <v>9263.3060000000005</v>
      </c>
      <c r="T137" s="11">
        <f t="shared" si="415"/>
        <v>6449.7879999999996</v>
      </c>
      <c r="U137" s="11">
        <f t="shared" ref="U137:V137" si="416">U136*U27</f>
        <v>6317.5599999999995</v>
      </c>
      <c r="V137" s="11">
        <f t="shared" si="416"/>
        <v>8030.2710000000006</v>
      </c>
      <c r="W137" s="11">
        <f t="shared" ref="W137:X137" si="417">W136*W27</f>
        <v>12025.402000000002</v>
      </c>
      <c r="X137" s="11">
        <f t="shared" si="417"/>
        <v>11356.916000000001</v>
      </c>
      <c r="Y137" s="11">
        <f t="shared" ref="Y137:Z137" si="418">Y136*Y27</f>
        <v>10078.712000000001</v>
      </c>
      <c r="Z137" s="11">
        <f t="shared" si="418"/>
        <v>13553.37</v>
      </c>
      <c r="AA137" s="11">
        <f t="shared" ref="AA137:AB137" si="419">AA136*AA27</f>
        <v>19569.744000000002</v>
      </c>
      <c r="AB137" s="11">
        <f t="shared" si="419"/>
        <v>19128.984</v>
      </c>
      <c r="AC137" s="11">
        <f t="shared" ref="AC137" si="420">AC136*AC27</f>
        <v>25982.802</v>
      </c>
      <c r="AE137" s="11">
        <f t="shared" ref="AE137:AF137" si="421">AE136*AE27</f>
        <v>27044.182000000001</v>
      </c>
      <c r="AF137" s="11">
        <f t="shared" si="421"/>
        <v>21570.108</v>
      </c>
      <c r="AG137" s="11">
        <f t="shared" ref="AG137:AI137" si="422">AG136*AG27</f>
        <v>14160.300000000001</v>
      </c>
      <c r="AH137" s="11">
        <f t="shared" si="422"/>
        <v>17571.798999999999</v>
      </c>
      <c r="AI137" s="11">
        <f t="shared" si="422"/>
        <v>16245.633</v>
      </c>
      <c r="AJ137" s="11">
        <f t="shared" ref="AJ137:AK137" si="423">AJ136*AJ27</f>
        <v>14342.690999999999</v>
      </c>
      <c r="AK137" s="11">
        <f t="shared" si="423"/>
        <v>5013.5219999999999</v>
      </c>
      <c r="AL137" s="11">
        <f>AL136*AL27</f>
        <v>10212.330000000002</v>
      </c>
      <c r="AM137" s="11">
        <f t="shared" ref="AM137:AN137" si="424">AM136*AM27</f>
        <v>8029.1779999999999</v>
      </c>
      <c r="AN137" s="11">
        <f t="shared" si="424"/>
        <v>13553.37</v>
      </c>
    </row>
    <row r="138" spans="2:40" s="11" customFormat="1">
      <c r="B138" s="11" t="s">
        <v>9</v>
      </c>
      <c r="C138" s="11">
        <f t="shared" ref="C138:G138" si="425">C137-C129</f>
        <v>20189.099999999999</v>
      </c>
      <c r="D138" s="11">
        <f t="shared" si="425"/>
        <v>19370.449999999997</v>
      </c>
      <c r="E138" s="11">
        <f t="shared" si="425"/>
        <v>15627.342000000001</v>
      </c>
      <c r="F138" s="11">
        <f t="shared" si="425"/>
        <v>17030.933000000001</v>
      </c>
      <c r="G138" s="11">
        <f t="shared" si="425"/>
        <v>15428.457000000004</v>
      </c>
      <c r="H138" s="11">
        <f t="shared" ref="H138:I138" si="426">H137-H129</f>
        <v>16276.475999999999</v>
      </c>
      <c r="I138" s="11">
        <f t="shared" si="426"/>
        <v>14326.949999999999</v>
      </c>
      <c r="J138" s="11">
        <f t="shared" ref="J138:K138" si="427">J137-J129</f>
        <v>14976.490999999998</v>
      </c>
      <c r="K138" s="11">
        <f t="shared" si="427"/>
        <v>6675.7420000000002</v>
      </c>
      <c r="L138" s="11">
        <f t="shared" ref="L138" si="428">L137-L129</f>
        <v>6229.9760000000006</v>
      </c>
      <c r="M138" s="11">
        <f t="shared" ref="M138:T138" si="429">M137-M129</f>
        <v>5053.0420000000013</v>
      </c>
      <c r="N138" s="11">
        <f t="shared" si="429"/>
        <v>6709.1219999999994</v>
      </c>
      <c r="O138" s="11">
        <f t="shared" si="429"/>
        <v>9237.2000000000007</v>
      </c>
      <c r="P138" s="11">
        <f t="shared" si="429"/>
        <v>12944.671999999999</v>
      </c>
      <c r="Q138" s="11">
        <f t="shared" si="429"/>
        <v>14298</v>
      </c>
      <c r="R138" s="11">
        <f t="shared" si="429"/>
        <v>11607.430000000002</v>
      </c>
      <c r="S138" s="11">
        <f t="shared" si="429"/>
        <v>10718.106</v>
      </c>
      <c r="T138" s="11">
        <f t="shared" si="429"/>
        <v>7655.4879999999994</v>
      </c>
      <c r="U138" s="11">
        <f t="shared" ref="U138:V138" si="430">U137-U129</f>
        <v>7690.76</v>
      </c>
      <c r="V138" s="11">
        <f t="shared" si="430"/>
        <v>8803.871000000001</v>
      </c>
      <c r="W138" s="11">
        <f t="shared" ref="W138:X138" si="431">W137-W129</f>
        <v>13223.302000000001</v>
      </c>
      <c r="X138" s="11">
        <f t="shared" si="431"/>
        <v>12644.816000000001</v>
      </c>
      <c r="Y138" s="11">
        <f t="shared" ref="Y138:Z138" si="432">Y137-Y129</f>
        <v>11278.412000000002</v>
      </c>
      <c r="Z138" s="11">
        <f t="shared" si="432"/>
        <v>14204.570000000002</v>
      </c>
      <c r="AA138" s="11">
        <f t="shared" ref="AA138:AB138" si="433">AA137-AA129</f>
        <v>20497.344000000005</v>
      </c>
      <c r="AB138" s="11">
        <f t="shared" si="433"/>
        <v>20336.684000000001</v>
      </c>
      <c r="AC138" s="11">
        <f t="shared" ref="AC138" si="434">AC137-AC129</f>
        <v>26886.101999999999</v>
      </c>
      <c r="AE138" s="11">
        <f t="shared" ref="AE138:AF138" si="435">AE137-AE129</f>
        <v>27485.582000000002</v>
      </c>
      <c r="AF138" s="11">
        <f t="shared" si="435"/>
        <v>21950.808000000001</v>
      </c>
      <c r="AG138" s="11">
        <f t="shared" ref="AG138:AI138" si="436">AG137-AG129</f>
        <v>15106.200000000003</v>
      </c>
      <c r="AH138" s="11">
        <f t="shared" si="436"/>
        <v>18250.699000000001</v>
      </c>
      <c r="AI138" s="11">
        <f t="shared" si="436"/>
        <v>17030.933000000001</v>
      </c>
      <c r="AJ138" s="11">
        <f t="shared" ref="AJ138:AK138" si="437">AJ137-AJ129</f>
        <v>14976.490999999998</v>
      </c>
      <c r="AK138" s="11">
        <f t="shared" si="437"/>
        <v>6709.1219999999994</v>
      </c>
      <c r="AL138" s="11">
        <f>AL137-AL129</f>
        <v>11607.430000000002</v>
      </c>
      <c r="AM138" s="11">
        <f t="shared" ref="AM138:AN138" si="438">AM137-AM129</f>
        <v>8802.7780000000002</v>
      </c>
      <c r="AN138" s="11">
        <f t="shared" si="438"/>
        <v>14204.570000000002</v>
      </c>
    </row>
    <row r="140" spans="2:40">
      <c r="B140" s="3" t="s">
        <v>26</v>
      </c>
      <c r="C140" s="54">
        <f t="shared" ref="C140:G140" si="439">C136/C125</f>
        <v>4.5569444776404806</v>
      </c>
      <c r="D140" s="54">
        <f t="shared" si="439"/>
        <v>4.5773664820430584</v>
      </c>
      <c r="E140" s="54">
        <f t="shared" si="439"/>
        <v>3.6212162128120506</v>
      </c>
      <c r="F140" s="54">
        <f t="shared" si="439"/>
        <v>4.1230478148317342</v>
      </c>
      <c r="G140" s="54">
        <f t="shared" si="439"/>
        <v>3.5936217174572174</v>
      </c>
      <c r="H140" s="54">
        <f t="shared" ref="H140:I140" si="440">H136/H125</f>
        <v>3.8049860617375519</v>
      </c>
      <c r="I140" s="54">
        <f t="shared" si="440"/>
        <v>3.3381242931909623</v>
      </c>
      <c r="J140" s="54">
        <f t="shared" ref="J140:K140" si="441">J136/J125</f>
        <v>3.9679884357881914</v>
      </c>
      <c r="K140" s="54">
        <f t="shared" si="441"/>
        <v>1.6181469979296066</v>
      </c>
      <c r="L140" s="54">
        <f>L136/L125</f>
        <v>1.4771922289702375</v>
      </c>
      <c r="M140" s="54">
        <f>M136/M125</f>
        <v>1.156129193077416</v>
      </c>
      <c r="N140" s="54">
        <f>N136/N125</f>
        <v>1.7243411865864144</v>
      </c>
      <c r="O140" s="54">
        <f t="shared" ref="O140" si="442">O136/O125</f>
        <v>2.6197394789579156</v>
      </c>
      <c r="P140" s="54">
        <f>P136/P125</f>
        <v>3.8552261874233302</v>
      </c>
      <c r="Q140" s="54">
        <f>Q136/Q125</f>
        <v>4.4482586710348251</v>
      </c>
      <c r="R140" s="54">
        <f>R136/R125</f>
        <v>3.6801189189189176</v>
      </c>
      <c r="S140" s="54">
        <f>S136/S125</f>
        <v>3.3600442526025622</v>
      </c>
      <c r="T140" s="54">
        <f>T136/T125</f>
        <v>2.2452006822849584</v>
      </c>
      <c r="U140" s="54">
        <f t="shared" ref="U140:V140" si="443">U136/U125</f>
        <v>2.3302570912175868</v>
      </c>
      <c r="V140" s="54">
        <f t="shared" si="443"/>
        <v>2.8431776660529637</v>
      </c>
      <c r="W140" s="54">
        <f t="shared" ref="W140:X140" si="444">W136/W125</f>
        <v>4.3381681096681097</v>
      </c>
      <c r="X140" s="54">
        <f t="shared" si="444"/>
        <v>4.119302140007254</v>
      </c>
      <c r="Y140" s="54">
        <f t="shared" ref="Y140:Z140" si="445">Y136/Y125</f>
        <v>3.6052053226498795</v>
      </c>
      <c r="Z140" s="54">
        <f t="shared" si="445"/>
        <v>4.4593722238673363</v>
      </c>
      <c r="AA140" s="54">
        <f t="shared" ref="AA140:AB140" si="446">AA136/AA125</f>
        <v>6.4325490582782745</v>
      </c>
      <c r="AB140" s="54">
        <f t="shared" si="446"/>
        <v>6.143292440105343</v>
      </c>
      <c r="AC140" s="54">
        <f t="shared" ref="AC140" si="447">AC136/AC125</f>
        <v>7.6068747255320996</v>
      </c>
      <c r="AE140" s="54">
        <f t="shared" ref="AE140:AF140" si="448">AE136/AE125</f>
        <v>6.9975631339267226</v>
      </c>
      <c r="AF140" s="54">
        <f t="shared" si="448"/>
        <v>5.6118084137679833</v>
      </c>
      <c r="AG140" s="54">
        <f t="shared" ref="AG140:AH140" si="449">AG136/AG125</f>
        <v>3.6006560378366026</v>
      </c>
      <c r="AH140" s="54">
        <f t="shared" si="449"/>
        <v>4.2113358897543431</v>
      </c>
      <c r="AI140" s="54">
        <f t="shared" ref="AI140:AJ140" si="450">AI136/AI125</f>
        <v>4.1230478148317342</v>
      </c>
      <c r="AJ140" s="54">
        <f t="shared" si="450"/>
        <v>3.9679884357881914</v>
      </c>
      <c r="AK140" s="54">
        <f>AK136/AK125</f>
        <v>1.7243411865864144</v>
      </c>
      <c r="AL140" s="54">
        <f>AL136/AL125</f>
        <v>3.6801189189189176</v>
      </c>
      <c r="AM140" s="54">
        <f t="shared" ref="AM140:AN140" si="451">AM136/AM125</f>
        <v>2.8427906812066248</v>
      </c>
      <c r="AN140" s="54">
        <f t="shared" si="451"/>
        <v>4.4593722238673363</v>
      </c>
    </row>
    <row r="141" spans="2:40">
      <c r="B141" s="3" t="s">
        <v>27</v>
      </c>
      <c r="C141" s="13" t="s">
        <v>186</v>
      </c>
      <c r="D141" s="13" t="s">
        <v>186</v>
      </c>
      <c r="E141" s="13" t="s">
        <v>186</v>
      </c>
      <c r="F141" s="13" t="s">
        <v>186</v>
      </c>
      <c r="G141" s="13" t="s">
        <v>186</v>
      </c>
      <c r="H141" s="68">
        <f t="shared" ref="H141" si="452">H136/SUM(E9:H9)</f>
        <v>3.9969163256834486E-3</v>
      </c>
      <c r="I141" s="68">
        <f t="shared" ref="I141" si="453">I136/SUM(F9:I9)</f>
        <v>3.3988808322824725E-3</v>
      </c>
      <c r="J141" s="68">
        <f t="shared" ref="J141" si="454">J136/SUM(G9:J9)</f>
        <v>3.5678980705158708E-3</v>
      </c>
      <c r="K141" s="68">
        <f t="shared" ref="K141" si="455">K136/SUM(H9:K9)</f>
        <v>1.3692135555934837E-3</v>
      </c>
      <c r="L141" s="68">
        <f t="shared" ref="L141" si="456">L136/SUM(I9:L9)</f>
        <v>1.3493997653217802E-3</v>
      </c>
      <c r="M141" s="68">
        <f t="shared" ref="M141" si="457">M136/SUM(J9:M9)</f>
        <v>1.0984631479313523E-3</v>
      </c>
      <c r="N141" s="68">
        <f t="shared" ref="N141" si="458">N136/SUM(K9:N9)</f>
        <v>1.8058391450770329E-3</v>
      </c>
      <c r="O141" s="68">
        <f t="shared" ref="O141" si="459">O136/SUM(L9:O9)</f>
        <v>2.5249708462201492E-3</v>
      </c>
      <c r="P141" s="68">
        <f t="shared" ref="P141:S141" si="460">P136/SUM(M9:P9)</f>
        <v>3.3363450053989726E-3</v>
      </c>
      <c r="Q141" s="68">
        <f t="shared" si="460"/>
        <v>3.5885419964958943E-3</v>
      </c>
      <c r="R141" s="68">
        <f t="shared" si="460"/>
        <v>3.3117316306108839E-3</v>
      </c>
      <c r="S141" s="68">
        <f t="shared" si="460"/>
        <v>3.1597674651698908E-3</v>
      </c>
      <c r="T141" s="68">
        <f>T136/SUM(Q9:T9)</f>
        <v>2.2633532687151986E-3</v>
      </c>
      <c r="U141" s="68">
        <f t="shared" ref="U141" si="461">U136/SUM(R9:U9)</f>
        <v>2.2337082153710292E-3</v>
      </c>
      <c r="V141" s="68">
        <f t="shared" ref="V141" si="462">V136/SUM(S9:V9)</f>
        <v>2.4072768919037972E-3</v>
      </c>
      <c r="W141" s="68">
        <f t="shared" ref="W141" si="463">W136/SUM(T9:W9)</f>
        <v>3.515742450925648E-3</v>
      </c>
      <c r="X141" s="68">
        <f t="shared" ref="X141" si="464">X136/SUM(U9:X9)</f>
        <v>3.136157091853295E-3</v>
      </c>
      <c r="Y141" s="68">
        <f t="shared" ref="Y141" si="465">Y136/SUM(V9:Y9)</f>
        <v>2.5960264900662254E-3</v>
      </c>
      <c r="Z141" s="68">
        <f t="shared" ref="Z141" si="466">Z136/SUM(W9:Z9)</f>
        <v>3.5019455252918285E-3</v>
      </c>
      <c r="AA141" s="68">
        <f t="shared" ref="AA141" si="467">AA136/SUM(X9:AA9)</f>
        <v>4.8895088466338749E-3</v>
      </c>
      <c r="AB141" s="68">
        <f t="shared" ref="AB141:AC141" si="468">AB136/SUM(Y9:AB9)</f>
        <v>4.6086048528396709E-3</v>
      </c>
      <c r="AC141" s="68">
        <f t="shared" si="468"/>
        <v>5.8382714622914021E-3</v>
      </c>
      <c r="AE141" s="54">
        <f t="shared" ref="AE141:AF141" si="469">AE137/AE9</f>
        <v>4.3003724080905741</v>
      </c>
      <c r="AF141" s="54">
        <f t="shared" si="469"/>
        <v>3.6386208059918017</v>
      </c>
      <c r="AG141" s="54">
        <f t="shared" ref="AG141:AI141" si="470">AG137/AG9</f>
        <v>2.2774909529553682</v>
      </c>
      <c r="AH141" s="54">
        <f t="shared" si="470"/>
        <v>3.0092303872039454</v>
      </c>
      <c r="AI141" s="54">
        <f t="shared" si="470"/>
        <v>3.2035718088777578</v>
      </c>
      <c r="AJ141" s="54">
        <f t="shared" ref="AJ141:AK141" si="471">AJ137/AJ9</f>
        <v>2.6256161900926296</v>
      </c>
      <c r="AK141" s="54">
        <f t="shared" si="471"/>
        <v>1.3294587786057119</v>
      </c>
      <c r="AL141" s="54">
        <f>AL137/AL9</f>
        <v>2.4331292290098165</v>
      </c>
      <c r="AM141" s="54">
        <f t="shared" ref="AM141:AN141" si="472">AM137/AM9</f>
        <v>1.7683856047925295</v>
      </c>
      <c r="AN141" s="54">
        <f t="shared" si="472"/>
        <v>2.5725291828793777</v>
      </c>
    </row>
    <row r="142" spans="2:40">
      <c r="B142" s="3" t="s">
        <v>28</v>
      </c>
      <c r="C142" s="13" t="s">
        <v>186</v>
      </c>
      <c r="D142" s="13" t="s">
        <v>186</v>
      </c>
      <c r="E142" s="13" t="s">
        <v>186</v>
      </c>
      <c r="F142" s="13" t="s">
        <v>186</v>
      </c>
      <c r="G142" s="13" t="s">
        <v>186</v>
      </c>
      <c r="H142" s="54">
        <f t="shared" ref="H142" si="473">H136/SUM(E26:H26)</f>
        <v>-328.9104111728746</v>
      </c>
      <c r="I142" s="54">
        <f t="shared" ref="I142" si="474">I136/SUM(F26:I26)</f>
        <v>-115.49206732790152</v>
      </c>
      <c r="J142" s="54">
        <f t="shared" ref="J142" si="475">J136/SUM(G26:J26)</f>
        <v>-44.49814940755099</v>
      </c>
      <c r="K142" s="54">
        <f t="shared" ref="K142" si="476">K136/SUM(H26:K26)</f>
        <v>-9.2931914725575346</v>
      </c>
      <c r="L142" s="54">
        <f t="shared" ref="L142" si="477">L136/SUM(I26:L26)</f>
        <v>-4.921897835209367</v>
      </c>
      <c r="M142" s="54">
        <f t="shared" ref="M142" si="478">M136/SUM(J26:M26)</f>
        <v>-3.4596705334508839</v>
      </c>
      <c r="N142" s="54">
        <f t="shared" ref="N142" si="479">N136/SUM(K26:N26)</f>
        <v>-6.8505742659676452</v>
      </c>
      <c r="O142" s="54">
        <f t="shared" ref="O142" si="480">O136/SUM(L26:O26)</f>
        <v>-13.844238952468716</v>
      </c>
      <c r="P142" s="54">
        <f t="shared" ref="P142:S142" si="481">P136/SUM(M26:P26)</f>
        <v>-88.265429889576552</v>
      </c>
      <c r="Q142" s="54">
        <f t="shared" si="481"/>
        <v>-249.48613055071797</v>
      </c>
      <c r="R142" s="54">
        <f t="shared" si="481"/>
        <v>-228.62115367889854</v>
      </c>
      <c r="S142" s="54">
        <f t="shared" si="481"/>
        <v>697.1161832155442</v>
      </c>
      <c r="T142" s="54">
        <f>T136/SUM(Q26:T26)</f>
        <v>-16621.554193892349</v>
      </c>
      <c r="U142" s="54">
        <f t="shared" ref="U142" si="482">U136/SUM(R26:U26)</f>
        <v>438.72815292259435</v>
      </c>
      <c r="V142" s="54">
        <f t="shared" ref="V142" si="483">V136/SUM(S26:V26)</f>
        <v>228.12184764773781</v>
      </c>
      <c r="W142" s="54">
        <f t="shared" ref="W142" si="484">W136/SUM(T26:W26)</f>
        <v>-3080.9740653922145</v>
      </c>
      <c r="X142" s="54">
        <f t="shared" ref="X142" si="485">X136/SUM(U26:X26)</f>
        <v>-117.19866564823911</v>
      </c>
      <c r="Y142" s="54">
        <f t="shared" ref="Y142" si="486">Y136/SUM(V26:Y26)</f>
        <v>-1767.2287179242439</v>
      </c>
      <c r="Z142" s="54">
        <f t="shared" ref="Z142" si="487">Z136/SUM(W26:Z26)</f>
        <v>82.642499999999998</v>
      </c>
      <c r="AA142" s="54">
        <f t="shared" ref="AA142" si="488">AA136/SUM(X26:AA26)</f>
        <v>74.268478178368113</v>
      </c>
      <c r="AB142" s="54">
        <f t="shared" ref="AB142:AC142" si="489">AB136/SUM(Y26:AB26)</f>
        <v>50.115231857479699</v>
      </c>
      <c r="AC142" s="54">
        <f t="shared" si="489"/>
        <v>52.017621621621622</v>
      </c>
      <c r="AE142" s="54">
        <f t="shared" ref="AE142:AF142" si="490">AE136/AE26</f>
        <v>80.801260830594572</v>
      </c>
      <c r="AF142" s="54">
        <f t="shared" si="490"/>
        <v>311.70676300578032</v>
      </c>
      <c r="AG142" s="54">
        <f t="shared" ref="AG142:AH142" si="491">AG136/AG26</f>
        <v>85.25165562913908</v>
      </c>
      <c r="AH142" s="54">
        <f t="shared" si="491"/>
        <v>71.19853727714748</v>
      </c>
      <c r="AI142" s="54">
        <f t="shared" ref="AI142:AJ142" si="492">AI136/AI26</f>
        <v>-91.165168350168358</v>
      </c>
      <c r="AJ142" s="54">
        <f t="shared" si="492"/>
        <v>-44.501058020477807</v>
      </c>
      <c r="AK142" s="54">
        <f>AK136/AK26</f>
        <v>-6.8500095641481078</v>
      </c>
      <c r="AL142" s="54">
        <f>AL136/AL26</f>
        <v>-228.46375838926176</v>
      </c>
      <c r="AM142" s="54">
        <f t="shared" ref="AM142:AN142" si="493">AM136/AM26</f>
        <v>-43.307324703344115</v>
      </c>
      <c r="AN142" s="54">
        <f t="shared" si="493"/>
        <v>82.642499999999998</v>
      </c>
    </row>
    <row r="144" spans="2:40">
      <c r="B144" s="3" t="s">
        <v>204</v>
      </c>
      <c r="C144" s="13" t="s">
        <v>186</v>
      </c>
      <c r="D144" s="24">
        <f t="shared" ref="D144:S144" si="494">D15:D15/D9</f>
        <v>8.0382013529645847E-3</v>
      </c>
      <c r="E144" s="24">
        <f t="shared" si="494"/>
        <v>7.5045285948417148E-3</v>
      </c>
      <c r="F144" s="24">
        <f t="shared" si="494"/>
        <v>1.0308671065032988E-2</v>
      </c>
      <c r="G144" s="24">
        <f t="shared" si="494"/>
        <v>1.1296003886797037E-2</v>
      </c>
      <c r="H144" s="24">
        <f t="shared" si="494"/>
        <v>8.5587872633640389E-3</v>
      </c>
      <c r="I144" s="24">
        <f t="shared" si="494"/>
        <v>9.8673018033344686E-3</v>
      </c>
      <c r="J144" s="24">
        <f t="shared" si="494"/>
        <v>8.057553956834532E-3</v>
      </c>
      <c r="K144" s="24">
        <f t="shared" si="494"/>
        <v>9.1511517828968131E-3</v>
      </c>
      <c r="L144" s="24">
        <f t="shared" si="494"/>
        <v>1.1913626209977662E-2</v>
      </c>
      <c r="M144" s="24">
        <f t="shared" si="494"/>
        <v>9.3581125609595358E-3</v>
      </c>
      <c r="N144" s="24">
        <f t="shared" si="494"/>
        <v>5.7021831215379598E-3</v>
      </c>
      <c r="O144" s="24">
        <f t="shared" si="494"/>
        <v>1.0405053883314754E-2</v>
      </c>
      <c r="P144" s="24">
        <f t="shared" si="494"/>
        <v>8.2264484741264941E-3</v>
      </c>
      <c r="Q144" s="24">
        <f t="shared" si="494"/>
        <v>1.0750443586264482E-2</v>
      </c>
      <c r="R144" s="24">
        <f t="shared" si="494"/>
        <v>1.1526934603857682E-2</v>
      </c>
      <c r="S144" s="24">
        <f t="shared" si="494"/>
        <v>2.8956565152271591E-2</v>
      </c>
      <c r="T144" s="24">
        <f>T15:T15/T9</f>
        <v>2.4438119540681126E-2</v>
      </c>
      <c r="U144" s="24">
        <f>U15:U15/U9</f>
        <v>3.1216361679224973E-2</v>
      </c>
      <c r="V144" s="24">
        <f>V15:V15/V9</f>
        <v>1.943161277364933E-2</v>
      </c>
      <c r="W144" s="24">
        <f t="shared" ref="W144:X144" si="495">W15:W15/W9</f>
        <v>4.4370029300962753E-2</v>
      </c>
      <c r="X144" s="24">
        <f t="shared" si="495"/>
        <v>1.8416776290335064E-2</v>
      </c>
      <c r="Y144" s="24">
        <f t="shared" ref="Y144:AC144" si="496">Y15:Y15/Y9</f>
        <v>1.3235752102148862E-2</v>
      </c>
      <c r="Z144" s="24">
        <f t="shared" si="496"/>
        <v>8.961571565996659E-3</v>
      </c>
      <c r="AA144" s="24">
        <f t="shared" si="496"/>
        <v>1.3495427169306268E-2</v>
      </c>
      <c r="AB144" s="24">
        <f t="shared" si="496"/>
        <v>1.0239593093294069E-2</v>
      </c>
      <c r="AC144" s="24">
        <f t="shared" si="496"/>
        <v>5.6724178681162845E-3</v>
      </c>
      <c r="AE144" s="24">
        <f t="shared" ref="AE144:AI144" si="497">AE15:AE15/AE9</f>
        <v>7.4895051520162828E-3</v>
      </c>
      <c r="AF144" s="24">
        <f t="shared" si="497"/>
        <v>7.0342942932811528E-3</v>
      </c>
      <c r="AG144" s="24">
        <f t="shared" si="497"/>
        <v>7.6558102131081629E-3</v>
      </c>
      <c r="AH144" s="24">
        <f t="shared" si="497"/>
        <v>8.4256674601407705E-3</v>
      </c>
      <c r="AI144" s="24">
        <f t="shared" si="497"/>
        <v>9.0907298219321253E-3</v>
      </c>
      <c r="AJ144" s="24">
        <f t="shared" ref="AJ144:AM144" si="498">AJ15:AJ15/AJ9</f>
        <v>9.043312708234174E-3</v>
      </c>
      <c r="AK144" s="24">
        <f t="shared" si="498"/>
        <v>7.9022036010713056E-3</v>
      </c>
      <c r="AL144" s="24">
        <f t="shared" si="498"/>
        <v>1.0244925188220719E-2</v>
      </c>
      <c r="AM144" s="24">
        <f t="shared" si="498"/>
        <v>2.422694035767774E-2</v>
      </c>
      <c r="AN144" s="24">
        <f t="shared" ref="AN144" si="499">AN15:AN15/AN9</f>
        <v>1.7139603302647813E-2</v>
      </c>
    </row>
    <row r="145" spans="2:40">
      <c r="C145" s="13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AE145" s="24"/>
      <c r="AF145" s="24"/>
      <c r="AG145" s="24"/>
      <c r="AH145" s="24"/>
      <c r="AI145" s="24"/>
      <c r="AJ145" s="24"/>
      <c r="AK145" s="24"/>
      <c r="AL145" s="24"/>
    </row>
    <row r="146" spans="2:40" s="2" customFormat="1">
      <c r="B146" s="2" t="s">
        <v>251</v>
      </c>
      <c r="C146" s="13" t="s">
        <v>186</v>
      </c>
      <c r="D146" s="13" t="s">
        <v>186</v>
      </c>
      <c r="E146" s="13" t="s">
        <v>186</v>
      </c>
      <c r="F146" s="25">
        <f t="shared" ref="F146:S146" si="500">SUM(C23:F23)</f>
        <v>-166.40000000000032</v>
      </c>
      <c r="G146" s="25">
        <f t="shared" si="500"/>
        <v>-172.70000000000024</v>
      </c>
      <c r="H146" s="25">
        <f t="shared" si="500"/>
        <v>-38.800000000000068</v>
      </c>
      <c r="I146" s="25">
        <f t="shared" si="500"/>
        <v>-103.50000000000016</v>
      </c>
      <c r="J146" s="25">
        <f t="shared" si="500"/>
        <v>-316.50000000000011</v>
      </c>
      <c r="K146" s="25">
        <f t="shared" si="500"/>
        <v>-565.90000000000009</v>
      </c>
      <c r="L146" s="25">
        <f t="shared" si="500"/>
        <v>-887.70000000000027</v>
      </c>
      <c r="M146" s="25">
        <f t="shared" si="500"/>
        <v>-931.90000000000009</v>
      </c>
      <c r="N146" s="25">
        <f t="shared" si="500"/>
        <v>-728.19999999999993</v>
      </c>
      <c r="O146" s="25">
        <f t="shared" si="500"/>
        <v>-527.5999999999998</v>
      </c>
      <c r="P146" s="25">
        <f t="shared" si="500"/>
        <v>-125.79999999999983</v>
      </c>
      <c r="Q146" s="25">
        <f t="shared" si="500"/>
        <v>-51.999999999999829</v>
      </c>
      <c r="R146" s="25">
        <f t="shared" si="500"/>
        <v>-43.5</v>
      </c>
      <c r="S146" s="25">
        <f t="shared" si="500"/>
        <v>15.800000000000026</v>
      </c>
      <c r="T146" s="25">
        <f>SUM(Q23:T23)</f>
        <v>0.69999999999996021</v>
      </c>
      <c r="U146" s="25">
        <f t="shared" ref="U146" si="501">SUM(R23:U23)</f>
        <v>4.9999999999998934</v>
      </c>
      <c r="V146" s="25">
        <f t="shared" ref="V146" si="502">SUM(S23:V23)</f>
        <v>25.099999999999916</v>
      </c>
      <c r="W146" s="25">
        <f t="shared" ref="W146" si="503">SUM(T23:W23)</f>
        <v>-16.900000000000141</v>
      </c>
      <c r="X146" s="25">
        <f t="shared" ref="X146" si="504">SUM(U23:X23)</f>
        <v>-117.10000000000016</v>
      </c>
      <c r="Y146" s="25">
        <f t="shared" ref="Y146" si="505">SUM(V23:Y23)</f>
        <v>-11.40000000000002</v>
      </c>
      <c r="Z146" s="25">
        <f t="shared" ref="Z146" si="506">SUM(W23:Z23)</f>
        <v>101.69999999999997</v>
      </c>
      <c r="AA146" s="25">
        <f t="shared" ref="AA146" si="507">SUM(X23:AA23)</f>
        <v>206.80000000000007</v>
      </c>
      <c r="AB146" s="25">
        <f t="shared" ref="AB146" si="508">SUM(Y23:AB23)</f>
        <v>335.40000000000038</v>
      </c>
      <c r="AC146" s="25">
        <f t="shared" ref="AC146" si="509">SUM(Z23:AC23)</f>
        <v>452.80000000000018</v>
      </c>
      <c r="AE146" s="25">
        <f t="shared" ref="AE146:AK146" si="510">AE23</f>
        <v>347.7</v>
      </c>
      <c r="AF146" s="25">
        <f t="shared" si="510"/>
        <v>80.800000000000153</v>
      </c>
      <c r="AG146" s="25">
        <f t="shared" si="510"/>
        <v>167.80000000000015</v>
      </c>
      <c r="AH146" s="25">
        <f t="shared" si="510"/>
        <v>262.80000000000047</v>
      </c>
      <c r="AI146" s="25">
        <f t="shared" si="510"/>
        <v>-171.20000000000002</v>
      </c>
      <c r="AJ146" s="25">
        <f t="shared" si="510"/>
        <v>-316.5</v>
      </c>
      <c r="AK146" s="25">
        <f t="shared" si="510"/>
        <v>-728.30000000000007</v>
      </c>
      <c r="AL146" s="25">
        <f>AL23</f>
        <v>-43.500000000000142</v>
      </c>
      <c r="AM146" s="25">
        <f t="shared" ref="AM146:AN146" si="511">AM23</f>
        <v>-203.50000000000011</v>
      </c>
      <c r="AN146" s="25">
        <f t="shared" si="511"/>
        <v>164.30000000000038</v>
      </c>
    </row>
    <row r="147" spans="2:40">
      <c r="B147" s="3" t="s">
        <v>252</v>
      </c>
      <c r="C147" s="13" t="s">
        <v>186</v>
      </c>
      <c r="D147" s="13" t="s">
        <v>186</v>
      </c>
      <c r="E147" s="13" t="s">
        <v>186</v>
      </c>
      <c r="F147" s="24">
        <f t="shared" ref="F147:S147" si="512">SUM(C23:F23)/F121</f>
        <v>-4.223243064896838E-2</v>
      </c>
      <c r="G147" s="24">
        <f t="shared" si="512"/>
        <v>-4.4376493563224366E-2</v>
      </c>
      <c r="H147" s="24">
        <f t="shared" si="512"/>
        <v>-9.9230198716145548E-3</v>
      </c>
      <c r="I147" s="24">
        <f t="shared" si="512"/>
        <v>-2.72203666202036E-2</v>
      </c>
      <c r="J147" s="24">
        <f t="shared" si="512"/>
        <v>-8.7561555912134159E-2</v>
      </c>
      <c r="K147" s="24">
        <f t="shared" si="512"/>
        <v>-0.1722993545244185</v>
      </c>
      <c r="L147" s="24">
        <f t="shared" si="512"/>
        <v>-0.29785592054491167</v>
      </c>
      <c r="M147" s="24">
        <f t="shared" si="512"/>
        <v>-0.3318495833630084</v>
      </c>
      <c r="N147" s="24">
        <f t="shared" si="512"/>
        <v>-0.25045571797076521</v>
      </c>
      <c r="O147" s="24">
        <f t="shared" si="512"/>
        <v>-0.18880618379616368</v>
      </c>
      <c r="P147" s="24">
        <f t="shared" si="512"/>
        <v>-4.3594275219184193E-2</v>
      </c>
      <c r="Q147" s="24">
        <f t="shared" si="512"/>
        <v>-1.8517199629655947E-2</v>
      </c>
      <c r="R147" s="24">
        <f t="shared" si="512"/>
        <v>-1.5675675675675675E-2</v>
      </c>
      <c r="S147" s="24">
        <f t="shared" si="512"/>
        <v>5.7310747578802369E-3</v>
      </c>
      <c r="T147" s="24">
        <f>SUM(Q23:T23)/T121</f>
        <v>2.4367319942909468E-4</v>
      </c>
      <c r="U147" s="24">
        <f t="shared" ref="U147" si="513">SUM(R23:U23)/U121</f>
        <v>1.8442698535649344E-3</v>
      </c>
      <c r="V147" s="24">
        <f t="shared" ref="V147" si="514">SUM(S23:V23)/V121</f>
        <v>8.8868432233394409E-3</v>
      </c>
      <c r="W147" s="24">
        <f t="shared" ref="W147" si="515">SUM(T23:W23)/W121</f>
        <v>-6.0966810966811471E-3</v>
      </c>
      <c r="X147" s="24">
        <f t="shared" ref="X147" si="516">SUM(U23:X23)/X121</f>
        <v>-4.2473703300689218E-2</v>
      </c>
      <c r="Y147" s="24">
        <f t="shared" ref="Y147" si="517">SUM(V23:Y23)/Y121</f>
        <v>-4.0778366003720208E-3</v>
      </c>
      <c r="Z147" s="24">
        <f t="shared" ref="Z147" si="518">SUM(W23:Z23)/Z121</f>
        <v>3.3461652354160487E-2</v>
      </c>
      <c r="AA147" s="24">
        <f t="shared" ref="AA147" si="519">SUM(X23:AA23)/AA121</f>
        <v>6.7974887420701458E-2</v>
      </c>
      <c r="AB147" s="24">
        <f t="shared" ref="AB147" si="520">SUM(Y23:AB23)/AB121</f>
        <v>0.10771404714496768</v>
      </c>
      <c r="AC147" s="24">
        <f t="shared" ref="AC147" si="521">SUM(Z23:AC23)/AC121</f>
        <v>0.13256433527534625</v>
      </c>
      <c r="AE147" s="24">
        <f t="shared" ref="AE147:AK147" si="522">AE23/AE121</f>
        <v>8.996584558062512E-2</v>
      </c>
      <c r="AF147" s="24">
        <f t="shared" si="522"/>
        <v>2.1021411660639529E-2</v>
      </c>
      <c r="AG147" s="24">
        <f t="shared" si="522"/>
        <v>4.2575865218715155E-2</v>
      </c>
      <c r="AH147" s="24">
        <f t="shared" si="522"/>
        <v>6.2840746054519475E-2</v>
      </c>
      <c r="AI147" s="24">
        <f t="shared" si="522"/>
        <v>-4.3450673840765466E-2</v>
      </c>
      <c r="AJ147" s="24">
        <f t="shared" si="522"/>
        <v>-8.7561555912134131E-2</v>
      </c>
      <c r="AK147" s="24">
        <f t="shared" si="522"/>
        <v>-0.25049011177987962</v>
      </c>
      <c r="AL147" s="24">
        <f>AL23/AL121</f>
        <v>-1.5675675675675727E-2</v>
      </c>
      <c r="AM147" s="24">
        <f t="shared" ref="AM147:AN147" si="523">AM23/AM121</f>
        <v>-7.2050701033847933E-2</v>
      </c>
      <c r="AN147" s="24">
        <f t="shared" si="523"/>
        <v>5.4058500312572096E-2</v>
      </c>
    </row>
    <row r="148" spans="2:40">
      <c r="B148" s="3" t="s">
        <v>253</v>
      </c>
      <c r="C148" s="13" t="s">
        <v>186</v>
      </c>
      <c r="D148" s="13" t="s">
        <v>186</v>
      </c>
      <c r="E148" s="13" t="s">
        <v>186</v>
      </c>
      <c r="F148" s="24">
        <f t="shared" ref="F148:S148" si="524">F146/F89</f>
        <v>-1.473426957337917E-2</v>
      </c>
      <c r="G148" s="24">
        <f t="shared" si="524"/>
        <v>-1.5439493634673172E-2</v>
      </c>
      <c r="H148" s="24">
        <f t="shared" si="524"/>
        <v>-3.4417300903010688E-3</v>
      </c>
      <c r="I148" s="24">
        <f t="shared" si="524"/>
        <v>-9.355932203389844E-3</v>
      </c>
      <c r="J148" s="24">
        <f t="shared" si="524"/>
        <v>-2.9936155119413582E-2</v>
      </c>
      <c r="K148" s="24">
        <f t="shared" si="524"/>
        <v>-5.2127375392636413E-2</v>
      </c>
      <c r="L148" s="24">
        <f t="shared" si="524"/>
        <v>-8.5972456272880485E-2</v>
      </c>
      <c r="M148" s="24">
        <f t="shared" si="524"/>
        <v>-8.9755073343157368E-2</v>
      </c>
      <c r="N148" s="24">
        <f t="shared" si="524"/>
        <v>-6.9246861924686182E-2</v>
      </c>
      <c r="O148" s="24">
        <f t="shared" si="524"/>
        <v>-5.1183050222640428E-2</v>
      </c>
      <c r="P148" s="24">
        <f t="shared" si="524"/>
        <v>-1.2164814868536822E-2</v>
      </c>
      <c r="Q148" s="24">
        <f t="shared" si="524"/>
        <v>-5.0083311662669468E-3</v>
      </c>
      <c r="R148" s="24">
        <f t="shared" si="524"/>
        <v>-4.2836041358936486E-3</v>
      </c>
      <c r="S148" s="24">
        <f t="shared" si="524"/>
        <v>1.6010700822828448E-3</v>
      </c>
      <c r="T148" s="24">
        <f>T146/T89</f>
        <v>7.2173877180678044E-5</v>
      </c>
      <c r="U148" s="24">
        <f t="shared" ref="U148:V148" si="525">U146/U89</f>
        <v>5.0340300430911896E-4</v>
      </c>
      <c r="V148" s="24">
        <f t="shared" si="525"/>
        <v>2.4748326283511217E-3</v>
      </c>
      <c r="W148" s="24">
        <f t="shared" ref="W148:X148" si="526">W146/W89</f>
        <v>-1.6160341184008088E-3</v>
      </c>
      <c r="X148" s="24">
        <f t="shared" si="526"/>
        <v>-1.0914649491550715E-2</v>
      </c>
      <c r="Y148" s="24">
        <f t="shared" ref="Y148:Z148" si="527">Y146/Y89</f>
        <v>-1.0947222862410712E-3</v>
      </c>
      <c r="Z148" s="24">
        <f t="shared" si="527"/>
        <v>9.4319499188499859E-3</v>
      </c>
      <c r="AA148" s="24">
        <f t="shared" ref="AA148:AB148" si="528">AA146/AA89</f>
        <v>1.9194891262983009E-2</v>
      </c>
      <c r="AB148" s="24">
        <f t="shared" si="528"/>
        <v>3.0838260038065154E-2</v>
      </c>
      <c r="AC148" s="24">
        <f t="shared" ref="AC148" si="529">AC146/AC89</f>
        <v>3.8796021008799378E-2</v>
      </c>
      <c r="AE148" s="24">
        <f t="shared" ref="AE148:AK148" si="530">AE146/AE89</f>
        <v>3.3397368168283544E-2</v>
      </c>
      <c r="AF148" s="24">
        <f t="shared" si="530"/>
        <v>6.9240327349072497E-3</v>
      </c>
      <c r="AG148" s="24">
        <f t="shared" si="530"/>
        <v>1.4385405414673471E-2</v>
      </c>
      <c r="AH148" s="24">
        <f t="shared" si="530"/>
        <v>2.2017057354937121E-2</v>
      </c>
      <c r="AI148" s="24">
        <f t="shared" si="530"/>
        <v>-1.5159296580303542E-2</v>
      </c>
      <c r="AJ148" s="24">
        <f t="shared" si="530"/>
        <v>-2.9936155119413572E-2</v>
      </c>
      <c r="AK148" s="24">
        <f t="shared" si="530"/>
        <v>-6.9256371243818948E-2</v>
      </c>
      <c r="AL148" s="24">
        <f>AL146/AL89</f>
        <v>-4.2836041358936625E-3</v>
      </c>
      <c r="AM148" s="24">
        <f t="shared" ref="AM148:AN148" si="531">AM146/AM89</f>
        <v>-2.0064878082448414E-2</v>
      </c>
      <c r="AN148" s="24">
        <f t="shared" si="531"/>
        <v>1.5237653605379122E-2</v>
      </c>
    </row>
    <row r="149" spans="2:40">
      <c r="B149" s="3" t="s">
        <v>254</v>
      </c>
      <c r="C149" s="13" t="s">
        <v>186</v>
      </c>
      <c r="D149" s="13" t="s">
        <v>186</v>
      </c>
      <c r="E149" s="13" t="s">
        <v>186</v>
      </c>
      <c r="F149" s="24">
        <f t="shared" ref="F149:S149" si="532">F146/(F124-F87)</f>
        <v>-8.1512687371411943E-2</v>
      </c>
      <c r="G149" s="24">
        <f t="shared" si="532"/>
        <v>-8.8970171552212735E-2</v>
      </c>
      <c r="H149" s="24">
        <f t="shared" si="532"/>
        <v>-2.0297133291483617E-2</v>
      </c>
      <c r="I149" s="24">
        <f t="shared" si="532"/>
        <v>-5.8800136348142303E-2</v>
      </c>
      <c r="J149" s="24">
        <f t="shared" si="532"/>
        <v>-0.20250815791157464</v>
      </c>
      <c r="K149" s="24">
        <f t="shared" si="532"/>
        <v>-0.46602981141398353</v>
      </c>
      <c r="L149" s="24">
        <f t="shared" si="532"/>
        <v>-0.88074213711677685</v>
      </c>
      <c r="M149" s="24">
        <f t="shared" si="532"/>
        <v>-1.3460927343637141</v>
      </c>
      <c r="N149" s="24">
        <f t="shared" si="532"/>
        <v>-0.87534559442240634</v>
      </c>
      <c r="O149" s="24">
        <f t="shared" si="532"/>
        <v>-0.73779890924346181</v>
      </c>
      <c r="P149" s="24">
        <f t="shared" si="532"/>
        <v>-0.15965277425250027</v>
      </c>
      <c r="Q149" s="24">
        <f t="shared" si="532"/>
        <v>-7.5111945688285109E-2</v>
      </c>
      <c r="R149" s="24">
        <f t="shared" si="532"/>
        <v>-7.7457264957264849E-2</v>
      </c>
      <c r="S149" s="24">
        <f t="shared" si="532"/>
        <v>2.9845107669059432E-2</v>
      </c>
      <c r="T149" s="24">
        <f>T146/(T124-T87)</f>
        <v>1.0913626442157166E-3</v>
      </c>
      <c r="U149" s="24">
        <f t="shared" ref="U149:V149" si="533">U146/(U124-U87)</f>
        <v>1.0636034886194192E-2</v>
      </c>
      <c r="V149" s="24">
        <f t="shared" si="533"/>
        <v>4.3433119916940259E-2</v>
      </c>
      <c r="W149" s="24">
        <f t="shared" ref="W149:X149" si="534">W146/(W124-W87)</f>
        <v>-3.3007812500000275E-2</v>
      </c>
      <c r="X149" s="24">
        <f t="shared" si="534"/>
        <v>-0.24741178956264551</v>
      </c>
      <c r="Y149" s="24">
        <f t="shared" ref="Y149:Z149" si="535">Y146/(Y124-Y87)</f>
        <v>-2.3194303153611456E-2</v>
      </c>
      <c r="Z149" s="24">
        <f t="shared" si="535"/>
        <v>0.14358322744599719</v>
      </c>
      <c r="AA149" s="24">
        <f t="shared" ref="AA149:AB149" si="536">AA146/(AA124-AA87)</f>
        <v>0.31295399515738459</v>
      </c>
      <c r="AB149" s="24">
        <f t="shared" si="536"/>
        <v>0.49214966984593062</v>
      </c>
      <c r="AC149" s="24">
        <f t="shared" ref="AC149" si="537">AC146/(AC124-AC87)</f>
        <v>0.47723440134907236</v>
      </c>
      <c r="AE149" s="24">
        <f t="shared" ref="AE149:AK149" si="538">AE146/(AE124-AE87)</f>
        <v>0.1335304735204885</v>
      </c>
      <c r="AF149" s="24">
        <f t="shared" si="538"/>
        <v>3.3137841939055952E-2</v>
      </c>
      <c r="AG149" s="24">
        <f t="shared" si="538"/>
        <v>7.398262863189467E-2</v>
      </c>
      <c r="AH149" s="24">
        <f t="shared" si="538"/>
        <v>0.11475481420025348</v>
      </c>
      <c r="AI149" s="24">
        <f t="shared" si="538"/>
        <v>-8.3864014891740973E-2</v>
      </c>
      <c r="AJ149" s="24">
        <f t="shared" si="538"/>
        <v>-0.20250815791157456</v>
      </c>
      <c r="AK149" s="24">
        <f t="shared" si="538"/>
        <v>-0.87546580117802619</v>
      </c>
      <c r="AL149" s="24">
        <f>AL146/(AL124-AL87)</f>
        <v>-7.7457264957265098E-2</v>
      </c>
      <c r="AM149" s="24">
        <f t="shared" ref="AM149:AN149" si="539">AM146/(AM124-AM87)</f>
        <v>-0.35213704793216638</v>
      </c>
      <c r="AN149" s="24">
        <f t="shared" si="539"/>
        <v>0.2319638571226883</v>
      </c>
    </row>
    <row r="150" spans="2:40">
      <c r="B150" s="3" t="s">
        <v>255</v>
      </c>
      <c r="C150" s="13" t="s">
        <v>186</v>
      </c>
      <c r="D150" s="13" t="s">
        <v>186</v>
      </c>
      <c r="E150" s="13" t="s">
        <v>186</v>
      </c>
      <c r="F150" s="24">
        <f t="shared" ref="F150:S150" si="540">F146/(F65+F69+F71+F70+F72+F72+F79+F80+F81+F82+F83+F84+F85+F86+F88)</f>
        <v>-2.7305546439120493E-2</v>
      </c>
      <c r="G150" s="24">
        <f t="shared" si="540"/>
        <v>-2.5833956619296966E-2</v>
      </c>
      <c r="H150" s="24">
        <f t="shared" si="540"/>
        <v>-5.7692593638945591E-3</v>
      </c>
      <c r="I150" s="24">
        <f t="shared" si="540"/>
        <v>-1.5152846099789202E-2</v>
      </c>
      <c r="J150" s="24">
        <f t="shared" si="540"/>
        <v>-5.7190871144359542E-2</v>
      </c>
      <c r="K150" s="24">
        <f t="shared" si="540"/>
        <v>-9.3356649124832977E-2</v>
      </c>
      <c r="L150" s="24">
        <f t="shared" si="540"/>
        <v>-0.14483129935391248</v>
      </c>
      <c r="M150" s="24">
        <f t="shared" si="540"/>
        <v>-0.16481262048352582</v>
      </c>
      <c r="N150" s="24">
        <f t="shared" si="540"/>
        <v>-0.13265808026524328</v>
      </c>
      <c r="O150" s="24">
        <f t="shared" si="540"/>
        <v>-9.4657145932756787E-2</v>
      </c>
      <c r="P150" s="24">
        <f t="shared" si="540"/>
        <v>-2.2775414139585379E-2</v>
      </c>
      <c r="Q150" s="24">
        <f t="shared" si="540"/>
        <v>-9.196540685849677E-3</v>
      </c>
      <c r="R150" s="24">
        <f t="shared" si="540"/>
        <v>-8.9263728145776901E-3</v>
      </c>
      <c r="S150" s="24">
        <f t="shared" si="540"/>
        <v>3.1154490781820023E-3</v>
      </c>
      <c r="T150" s="24">
        <f>T146/(T65+T69+T71+T70+T72+T72+T79+T80+T81+T82+T83+T84+T85+T86+T88)</f>
        <v>1.3257073595696376E-4</v>
      </c>
      <c r="U150" s="24">
        <f t="shared" ref="U150:V150" si="541">U146/(U65+U69+U71+U70+U72+U72+U79+U80+U81+U82+U83+U84+U85+U86+U88)</f>
        <v>8.9210840901384435E-4</v>
      </c>
      <c r="V150" s="24">
        <f t="shared" si="541"/>
        <v>4.9163630665569622E-3</v>
      </c>
      <c r="W150" s="24">
        <f t="shared" ref="W150:X150" si="542">W146/(W65+W69+W71+W70+W72+W72+W79+W80+W81+W82+W83+W84+W85+W86+W88)</f>
        <v>-2.9760332470460042E-3</v>
      </c>
      <c r="X150" s="24">
        <f t="shared" si="542"/>
        <v>-1.9888245384602349E-2</v>
      </c>
      <c r="Y150" s="24">
        <f t="shared" ref="Y150:Z150" si="543">Y146/(Y65+Y69+Y71+Y70+Y72+Y72+Y79+Y80+Y81+Y82+Y83+Y84+Y85+Y86+Y88)</f>
        <v>-1.868086849651785E-3</v>
      </c>
      <c r="Z150" s="24">
        <f t="shared" si="543"/>
        <v>1.7566587211109957E-2</v>
      </c>
      <c r="AA150" s="24">
        <f t="shared" ref="AA150:AB150" si="544">AA146/(AA65+AA69+AA71+AA70+AA72+AA72+AA79+AA80+AA81+AA82+AA83+AA84+AA85+AA86+AA88)</f>
        <v>3.2665697858090613E-2</v>
      </c>
      <c r="AB150" s="24">
        <f t="shared" si="544"/>
        <v>5.0556208736547051E-2</v>
      </c>
      <c r="AC150" s="24">
        <f t="shared" ref="AC150" si="545">AC146/(AC65+AC69+AC71+AC70+AC72+AC72+AC79+AC80+AC81+AC82+AC83+AC84+AC85+AC86+AC88)</f>
        <v>6.5617482537750377E-2</v>
      </c>
      <c r="AE150" s="24">
        <f t="shared" ref="AE150:AK150" si="546">AE146/(AE65+AE69+AE71+AE70+AE72+AE72+AE79+AE80+AE81+AE82+AE83+AE84+AE85+AE86+AE88)</f>
        <v>5.3721242834850053E-2</v>
      </c>
      <c r="AF150" s="24">
        <f t="shared" si="546"/>
        <v>1.2784001012594165E-2</v>
      </c>
      <c r="AG150" s="24">
        <f t="shared" si="546"/>
        <v>2.6713364642203318E-2</v>
      </c>
      <c r="AH150" s="24">
        <f t="shared" si="546"/>
        <v>4.6196846379665028E-2</v>
      </c>
      <c r="AI150" s="24">
        <f t="shared" si="546"/>
        <v>-2.8093206432556611E-2</v>
      </c>
      <c r="AJ150" s="24">
        <f t="shared" si="546"/>
        <v>-5.7190871144359522E-2</v>
      </c>
      <c r="AK150" s="24">
        <f t="shared" si="546"/>
        <v>-0.13267629752427451</v>
      </c>
      <c r="AL150" s="24">
        <f>AL146/(AL65+AL69+AL71+AL70+AL72+AL72+AL79+AL80+AL81+AL82+AL83+AL84+AL85+AL86+AL88)</f>
        <v>-8.9263728145777196E-3</v>
      </c>
      <c r="AM150" s="24">
        <f t="shared" ref="AM150:AN150" si="547">AM146/(AM65+AM69+AM71+AM70+AM72+AM72+AM79+AM80+AM81+AM82+AM83+AM84+AM85+AM86+AM88)</f>
        <v>-3.9859756336428111E-2</v>
      </c>
      <c r="AN150" s="24">
        <f t="shared" si="547"/>
        <v>2.837945210211773E-2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L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J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H1" r:id="rId17" xr:uid="{C51D7960-5775-2B44-BDA3-B0587CBBBD05}"/>
    <hyperlink ref="AF1" r:id="rId18" xr:uid="{98D8ADCC-38AA-4D40-97C3-2DAEEFC06FA9}"/>
    <hyperlink ref="U1" r:id="rId19" xr:uid="{E91FFA6B-0BF8-45A0-95F2-3BE46BD49EF2}"/>
    <hyperlink ref="V1" r:id="rId20" xr:uid="{978DB8FD-45F3-40D9-AF5F-49CC4706ED23}"/>
    <hyperlink ref="AM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  <hyperlink ref="Z1" r:id="rId25" xr:uid="{F50FCABF-268C-4517-AEDE-A70D539E8A9B}"/>
    <hyperlink ref="AN1" r:id="rId26" xr:uid="{561968B0-3751-416B-9D2D-55D59E0ACEB3}"/>
    <hyperlink ref="AA1" r:id="rId27" xr:uid="{FBF900E1-BC8C-4999-BD70-7DCF71BBCD69}"/>
    <hyperlink ref="AB1" r:id="rId28" xr:uid="{7082A795-D031-4993-9E11-7979C3E6044B}"/>
    <hyperlink ref="AC1" r:id="rId29" xr:uid="{B8371385-F31A-4AAF-8D4A-D614AEABA1FC}"/>
  </hyperlinks>
  <pageMargins left="0.7" right="0.7" top="0.75" bottom="0.75" header="0.3" footer="0.3"/>
  <pageSetup paperSize="256" orientation="portrait" horizontalDpi="203" verticalDpi="203" r:id="rId30"/>
  <ignoredErrors>
    <ignoredError sqref="AL75 AJ75:AK91 AJ115:AK123 AJ106:AM106 AJ139:AK139 AK136 AJ133:AK135 AI75 AJ93:AK105 AK92 AI92:AI93 AI105 AJ130:AK130 AK124:AK129 AJ107:AK113 AN9 AM75:AN85" formula="1"/>
    <ignoredError sqref="Q141:S141 P141 Q134:S134 O141 M141:N142 L134:P134 G134:K134 H141:L141 T134:V134 T141 AM4:AM8 AM45:AM50 AM53:AM55 AM9:AM11 AM27 AM23 AM21 AM18 AM13:AM17 AM19:AM20 AM22 AM24:AM26 U141:V141 W9:AC9 AN4:AN8 AN12:AN17 AN23 AN45:AN55" formulaRange="1"/>
    <ignoredError sqref="AN18 AN20:AN21 AN10:AN11" formula="1" formulaRange="1"/>
  </ignoredErrors>
  <drawing r:id="rId31"/>
  <legacyDrawing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N69" sqref="N69"/>
    </sheetView>
  </sheetViews>
  <sheetFormatPr defaultColWidth="9.140625" defaultRowHeight="12.75"/>
  <cols>
    <col min="1" max="16384" width="9.140625" style="66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O49"/>
  <sheetViews>
    <sheetView zoomScaleNormal="100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AB3" sqref="AB3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41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267</v>
      </c>
      <c r="W1" s="23" t="s">
        <v>268</v>
      </c>
      <c r="X1" s="23" t="s">
        <v>298</v>
      </c>
      <c r="Y1" s="23" t="s">
        <v>302</v>
      </c>
      <c r="Z1" s="23" t="s">
        <v>306</v>
      </c>
      <c r="AA1" s="23" t="s">
        <v>307</v>
      </c>
      <c r="AB1" s="23" t="s">
        <v>328</v>
      </c>
      <c r="AD1" s="74">
        <v>2014</v>
      </c>
      <c r="AE1" s="74">
        <v>2015</v>
      </c>
      <c r="AF1" s="74">
        <v>2016</v>
      </c>
      <c r="AG1" s="74">
        <v>2017</v>
      </c>
      <c r="AH1" s="74">
        <v>2018</v>
      </c>
      <c r="AI1" s="74">
        <f>AH1+1</f>
        <v>2019</v>
      </c>
      <c r="AJ1" s="74">
        <f t="shared" ref="AJ1:AO1" si="0">AI1+1</f>
        <v>2020</v>
      </c>
      <c r="AK1" s="74">
        <f t="shared" si="0"/>
        <v>2021</v>
      </c>
      <c r="AL1" s="2">
        <f t="shared" si="0"/>
        <v>2022</v>
      </c>
      <c r="AM1" s="2">
        <f t="shared" si="0"/>
        <v>2023</v>
      </c>
      <c r="AN1" s="2">
        <f t="shared" si="0"/>
        <v>2024</v>
      </c>
      <c r="AO1" s="2">
        <f t="shared" si="0"/>
        <v>2025</v>
      </c>
    </row>
    <row r="2" spans="1:41" s="89" customFormat="1">
      <c r="A2" s="87"/>
      <c r="B2" s="88"/>
      <c r="C2" s="88"/>
      <c r="D2" s="88"/>
    </row>
    <row r="3" spans="1:41" s="71" customFormat="1">
      <c r="A3" s="71" t="s">
        <v>206</v>
      </c>
      <c r="B3" s="71">
        <f t="shared" ref="B3" si="1">SUM(B4:B10)</f>
        <v>1835</v>
      </c>
      <c r="C3" s="71">
        <f t="shared" ref="C3" si="2">SUM(C4:C10)</f>
        <v>1802</v>
      </c>
      <c r="D3" s="71">
        <f t="shared" ref="D3" si="3">SUM(D4:D10)</f>
        <v>1708</v>
      </c>
      <c r="E3" s="71">
        <f t="shared" ref="E3" si="4">SUM(E4:E10)</f>
        <v>1858</v>
      </c>
      <c r="F3" s="71">
        <f t="shared" ref="F3" si="5">SUM(F4:F10)</f>
        <v>1860</v>
      </c>
      <c r="G3" s="71">
        <f t="shared" ref="G3" si="6">SUM(G4:G10)</f>
        <v>1890</v>
      </c>
      <c r="H3" s="71">
        <f t="shared" ref="H3" si="7">SUM(H4:H10)</f>
        <v>1889</v>
      </c>
      <c r="I3" s="71">
        <f t="shared" ref="I3" si="8">SUM(I4:I10)</f>
        <v>1917</v>
      </c>
      <c r="J3" s="71">
        <f t="shared" ref="J3" si="9">SUM(J4:J10)</f>
        <v>1902</v>
      </c>
      <c r="K3" s="71">
        <f t="shared" ref="K3" si="10">SUM(K4:K10)</f>
        <v>1902</v>
      </c>
      <c r="L3" s="71">
        <f t="shared" ref="L3" si="11">SUM(L4:L10)</f>
        <v>1902</v>
      </c>
      <c r="M3" s="71">
        <f t="shared" ref="M3:Q3" si="12">SUM(M4:M10)</f>
        <v>1904</v>
      </c>
      <c r="N3" s="71">
        <f t="shared" si="12"/>
        <v>1904</v>
      </c>
      <c r="O3" s="71">
        <f t="shared" ref="O3" si="13">SUM(O4:O10)</f>
        <v>1952</v>
      </c>
      <c r="P3" s="71">
        <f t="shared" si="12"/>
        <v>1968</v>
      </c>
      <c r="Q3" s="71">
        <f t="shared" si="12"/>
        <v>1996</v>
      </c>
      <c r="R3" s="71">
        <f>SUM(R4:R10)</f>
        <v>1992</v>
      </c>
      <c r="S3" s="71">
        <f t="shared" ref="S3:AB3" si="14">SUM(S4:S10)</f>
        <v>2000</v>
      </c>
      <c r="T3" s="71">
        <f t="shared" si="14"/>
        <v>1995</v>
      </c>
      <c r="U3" s="71">
        <f t="shared" si="14"/>
        <v>2019</v>
      </c>
      <c r="V3" s="71">
        <f t="shared" si="14"/>
        <v>2016</v>
      </c>
      <c r="W3" s="71">
        <f t="shared" si="14"/>
        <v>2023</v>
      </c>
      <c r="X3" s="71">
        <f t="shared" si="14"/>
        <v>2058</v>
      </c>
      <c r="Y3" s="71">
        <f t="shared" si="14"/>
        <v>2090</v>
      </c>
      <c r="Z3" s="71">
        <f t="shared" si="14"/>
        <v>2180</v>
      </c>
      <c r="AA3" s="71">
        <f t="shared" si="14"/>
        <v>2200</v>
      </c>
      <c r="AB3" s="71">
        <f t="shared" si="14"/>
        <v>2017</v>
      </c>
      <c r="AD3" s="71">
        <f t="shared" ref="AD3:AH3" si="15">SUM(AD4:AD10)</f>
        <v>1549</v>
      </c>
      <c r="AE3" s="71">
        <f t="shared" si="15"/>
        <v>1704</v>
      </c>
      <c r="AF3" s="71">
        <f t="shared" si="15"/>
        <v>1749</v>
      </c>
      <c r="AG3" s="71">
        <f t="shared" si="15"/>
        <v>1835</v>
      </c>
      <c r="AH3" s="71">
        <f t="shared" si="15"/>
        <v>1858</v>
      </c>
      <c r="AI3" s="71">
        <f t="shared" ref="AI3" si="16">SUM(AI4:AI10)</f>
        <v>1917</v>
      </c>
      <c r="AJ3" s="71">
        <f t="shared" ref="AJ3" si="17">SUM(AJ4:AJ10)</f>
        <v>1904</v>
      </c>
      <c r="AK3" s="71">
        <f t="shared" ref="AK3" si="18">SUM(AK4:AK10)</f>
        <v>1996</v>
      </c>
    </row>
    <row r="4" spans="1:41" s="72" customFormat="1">
      <c r="A4" s="73" t="s">
        <v>201</v>
      </c>
      <c r="B4" s="72">
        <v>191</v>
      </c>
      <c r="C4" s="72">
        <v>191</v>
      </c>
      <c r="D4" s="72">
        <v>191</v>
      </c>
      <c r="E4" s="72">
        <v>191</v>
      </c>
      <c r="F4" s="72">
        <v>191</v>
      </c>
      <c r="G4" s="72">
        <v>191</v>
      </c>
      <c r="H4" s="72">
        <v>191</v>
      </c>
      <c r="I4" s="72">
        <v>191</v>
      </c>
      <c r="J4" s="72">
        <v>191</v>
      </c>
      <c r="K4" s="72">
        <v>191</v>
      </c>
      <c r="L4" s="72">
        <v>191</v>
      </c>
      <c r="M4" s="72">
        <v>191</v>
      </c>
      <c r="N4" s="72">
        <v>191</v>
      </c>
      <c r="O4" s="72">
        <v>191</v>
      </c>
      <c r="P4" s="72">
        <v>191</v>
      </c>
      <c r="Q4" s="72">
        <v>191</v>
      </c>
      <c r="R4" s="72">
        <v>191</v>
      </c>
      <c r="S4" s="72">
        <v>191</v>
      </c>
      <c r="T4" s="72">
        <v>191</v>
      </c>
      <c r="U4" s="72">
        <v>191</v>
      </c>
      <c r="V4" s="72">
        <v>191</v>
      </c>
      <c r="W4" s="72">
        <v>191</v>
      </c>
      <c r="X4" s="72">
        <v>191</v>
      </c>
      <c r="Y4" s="72">
        <v>191</v>
      </c>
      <c r="Z4" s="72">
        <f>+Y4</f>
        <v>191</v>
      </c>
      <c r="AA4" s="72">
        <f>+Z4</f>
        <v>191</v>
      </c>
      <c r="AB4" s="72">
        <v>0</v>
      </c>
      <c r="AD4" s="72">
        <v>193</v>
      </c>
      <c r="AE4" s="72">
        <v>193</v>
      </c>
      <c r="AF4" s="72">
        <v>193</v>
      </c>
      <c r="AG4" s="72">
        <v>191</v>
      </c>
      <c r="AH4" s="72">
        <v>191</v>
      </c>
      <c r="AI4" s="72">
        <v>191</v>
      </c>
      <c r="AJ4" s="72">
        <v>191</v>
      </c>
      <c r="AK4" s="72">
        <v>191</v>
      </c>
    </row>
    <row r="5" spans="1:41" s="72" customFormat="1">
      <c r="A5" s="73" t="s">
        <v>85</v>
      </c>
      <c r="B5" s="72">
        <v>603</v>
      </c>
      <c r="C5" s="72">
        <v>622</v>
      </c>
      <c r="D5" s="72">
        <v>647</v>
      </c>
      <c r="E5" s="72">
        <v>771</v>
      </c>
      <c r="F5" s="72">
        <v>773</v>
      </c>
      <c r="G5" s="72">
        <v>793</v>
      </c>
      <c r="H5" s="72">
        <v>793</v>
      </c>
      <c r="I5" s="72">
        <v>815</v>
      </c>
      <c r="J5" s="72">
        <v>800</v>
      </c>
      <c r="K5" s="72">
        <v>798</v>
      </c>
      <c r="L5" s="72">
        <v>798</v>
      </c>
      <c r="M5" s="72">
        <v>798</v>
      </c>
      <c r="N5" s="72">
        <v>798</v>
      </c>
      <c r="O5" s="72">
        <v>816</v>
      </c>
      <c r="P5" s="72">
        <v>832</v>
      </c>
      <c r="Q5" s="72">
        <v>840</v>
      </c>
      <c r="R5" s="72">
        <v>840</v>
      </c>
      <c r="S5" s="72">
        <v>848</v>
      </c>
      <c r="T5" s="72">
        <v>817</v>
      </c>
      <c r="U5" s="72">
        <v>818</v>
      </c>
      <c r="V5" s="72">
        <v>815</v>
      </c>
      <c r="W5" s="72">
        <v>822</v>
      </c>
      <c r="X5" s="72">
        <v>847</v>
      </c>
      <c r="Y5" s="72">
        <v>853</v>
      </c>
      <c r="Z5" s="72">
        <v>943</v>
      </c>
      <c r="AA5" s="72">
        <v>943</v>
      </c>
      <c r="AB5" s="72">
        <v>943</v>
      </c>
      <c r="AD5" s="72">
        <v>421</v>
      </c>
      <c r="AE5" s="72">
        <v>500</v>
      </c>
      <c r="AF5" s="72">
        <v>525</v>
      </c>
      <c r="AG5" s="72">
        <v>603</v>
      </c>
      <c r="AH5" s="72">
        <v>771</v>
      </c>
      <c r="AI5" s="72">
        <v>815</v>
      </c>
      <c r="AJ5" s="72">
        <v>798</v>
      </c>
      <c r="AK5" s="72">
        <v>840</v>
      </c>
    </row>
    <row r="6" spans="1:41" s="72" customFormat="1">
      <c r="A6" s="73" t="s">
        <v>185</v>
      </c>
      <c r="B6" s="72">
        <v>592</v>
      </c>
      <c r="C6" s="72">
        <v>587</v>
      </c>
      <c r="D6" s="72">
        <v>563</v>
      </c>
      <c r="E6" s="72">
        <v>566</v>
      </c>
      <c r="F6" s="72">
        <v>566</v>
      </c>
      <c r="G6" s="72">
        <v>566</v>
      </c>
      <c r="H6" s="72">
        <v>565</v>
      </c>
      <c r="I6" s="72">
        <v>568</v>
      </c>
      <c r="J6" s="72">
        <v>568</v>
      </c>
      <c r="K6" s="72">
        <v>568</v>
      </c>
      <c r="L6" s="72">
        <v>568</v>
      </c>
      <c r="M6" s="72">
        <v>568</v>
      </c>
      <c r="N6" s="72">
        <v>568</v>
      </c>
      <c r="O6" s="72">
        <v>568</v>
      </c>
      <c r="P6" s="72">
        <v>568</v>
      </c>
      <c r="Q6" s="72">
        <v>568</v>
      </c>
      <c r="R6" s="72">
        <v>568</v>
      </c>
      <c r="S6" s="72">
        <v>568</v>
      </c>
      <c r="T6" s="72">
        <v>568</v>
      </c>
      <c r="U6" s="72">
        <v>568</v>
      </c>
      <c r="V6" s="72">
        <v>568</v>
      </c>
      <c r="W6" s="72">
        <v>568</v>
      </c>
      <c r="X6" s="72">
        <v>568</v>
      </c>
      <c r="Y6" s="72">
        <v>568</v>
      </c>
      <c r="Z6" s="72">
        <f t="shared" ref="Z6:AA8" si="19">+Y6</f>
        <v>568</v>
      </c>
      <c r="AA6" s="72">
        <f t="shared" si="19"/>
        <v>568</v>
      </c>
      <c r="AB6" s="72">
        <f>+AA6</f>
        <v>568</v>
      </c>
      <c r="AD6" s="72">
        <v>580</v>
      </c>
      <c r="AE6" s="72">
        <v>578</v>
      </c>
      <c r="AF6" s="72">
        <v>590</v>
      </c>
      <c r="AG6" s="72">
        <v>592</v>
      </c>
      <c r="AH6" s="72">
        <v>566</v>
      </c>
      <c r="AI6" s="72">
        <v>568</v>
      </c>
      <c r="AJ6" s="72">
        <v>568</v>
      </c>
      <c r="AK6" s="72">
        <v>568</v>
      </c>
    </row>
    <row r="7" spans="1:41" s="72" customFormat="1">
      <c r="A7" s="73" t="s">
        <v>188</v>
      </c>
      <c r="B7" s="72">
        <v>169</v>
      </c>
      <c r="C7" s="72">
        <v>172</v>
      </c>
      <c r="D7" s="72">
        <v>172</v>
      </c>
      <c r="E7" s="72">
        <v>172</v>
      </c>
      <c r="F7" s="72">
        <v>172</v>
      </c>
      <c r="G7" s="72">
        <v>172</v>
      </c>
      <c r="H7" s="72">
        <v>172</v>
      </c>
      <c r="I7" s="72">
        <v>172</v>
      </c>
      <c r="J7" s="72">
        <v>172</v>
      </c>
      <c r="K7" s="72">
        <v>172</v>
      </c>
      <c r="L7" s="72">
        <v>172</v>
      </c>
      <c r="M7" s="72">
        <v>172</v>
      </c>
      <c r="N7" s="72">
        <v>172</v>
      </c>
      <c r="O7" s="72">
        <v>172</v>
      </c>
      <c r="P7" s="72">
        <v>172</v>
      </c>
      <c r="Q7" s="72">
        <v>172</v>
      </c>
      <c r="R7" s="72">
        <v>172</v>
      </c>
      <c r="S7" s="72">
        <v>172</v>
      </c>
      <c r="T7" s="72">
        <v>172</v>
      </c>
      <c r="U7" s="72">
        <v>172</v>
      </c>
      <c r="V7" s="72">
        <v>172</v>
      </c>
      <c r="W7" s="72">
        <v>172</v>
      </c>
      <c r="X7" s="72">
        <v>172</v>
      </c>
      <c r="Y7" s="72">
        <v>172</v>
      </c>
      <c r="Z7" s="72">
        <f t="shared" si="19"/>
        <v>172</v>
      </c>
      <c r="AA7" s="72">
        <f t="shared" si="19"/>
        <v>172</v>
      </c>
      <c r="AB7" s="72">
        <f>+AA7</f>
        <v>172</v>
      </c>
      <c r="AD7" s="72">
        <v>145</v>
      </c>
      <c r="AE7" s="72">
        <v>166</v>
      </c>
      <c r="AF7" s="72">
        <v>166</v>
      </c>
      <c r="AG7" s="72">
        <v>169</v>
      </c>
      <c r="AH7" s="72">
        <v>172</v>
      </c>
      <c r="AI7" s="72">
        <v>172</v>
      </c>
      <c r="AJ7" s="72">
        <v>172</v>
      </c>
      <c r="AK7" s="72">
        <v>172</v>
      </c>
    </row>
    <row r="8" spans="1:41" s="72" customFormat="1">
      <c r="A8" s="73" t="s">
        <v>213</v>
      </c>
      <c r="B8" s="72">
        <v>100</v>
      </c>
      <c r="C8" s="72">
        <v>100</v>
      </c>
      <c r="D8" s="72">
        <v>0</v>
      </c>
      <c r="E8" s="72">
        <v>0</v>
      </c>
      <c r="F8" s="72">
        <v>0</v>
      </c>
      <c r="G8" s="72">
        <v>0</v>
      </c>
      <c r="H8" s="72">
        <v>0</v>
      </c>
      <c r="I8" s="72">
        <v>0</v>
      </c>
      <c r="J8" s="72">
        <v>0</v>
      </c>
      <c r="K8" s="72">
        <v>0</v>
      </c>
      <c r="L8" s="72">
        <v>0</v>
      </c>
      <c r="M8" s="72">
        <v>0</v>
      </c>
      <c r="N8" s="72">
        <v>0</v>
      </c>
      <c r="O8" s="72">
        <v>0</v>
      </c>
      <c r="P8" s="72">
        <v>0</v>
      </c>
      <c r="Q8" s="72">
        <v>0</v>
      </c>
      <c r="R8" s="72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v>0</v>
      </c>
      <c r="Y8" s="72">
        <v>0</v>
      </c>
      <c r="Z8" s="72">
        <f t="shared" si="19"/>
        <v>0</v>
      </c>
      <c r="AA8" s="72">
        <f t="shared" si="19"/>
        <v>0</v>
      </c>
      <c r="AB8" s="72">
        <v>0</v>
      </c>
      <c r="AD8" s="72">
        <v>100</v>
      </c>
      <c r="AE8" s="72">
        <v>100</v>
      </c>
      <c r="AF8" s="72">
        <v>100</v>
      </c>
      <c r="AG8" s="72">
        <v>100</v>
      </c>
      <c r="AH8" s="72">
        <v>0</v>
      </c>
      <c r="AI8" s="72">
        <v>0</v>
      </c>
      <c r="AJ8" s="72">
        <v>0</v>
      </c>
      <c r="AK8" s="72">
        <v>0</v>
      </c>
    </row>
    <row r="9" spans="1:41" s="72" customFormat="1">
      <c r="A9" s="73" t="s">
        <v>180</v>
      </c>
      <c r="B9" s="72">
        <v>74</v>
      </c>
      <c r="C9" s="72">
        <v>50</v>
      </c>
      <c r="D9" s="72">
        <v>62</v>
      </c>
      <c r="E9" s="72">
        <v>47</v>
      </c>
      <c r="F9" s="72">
        <v>46</v>
      </c>
      <c r="G9" s="72">
        <v>44</v>
      </c>
      <c r="H9" s="72">
        <v>44</v>
      </c>
      <c r="I9" s="72">
        <v>27</v>
      </c>
      <c r="J9" s="72">
        <v>27</v>
      </c>
      <c r="K9" s="72">
        <v>25</v>
      </c>
      <c r="L9" s="72">
        <v>22</v>
      </c>
      <c r="M9" s="72">
        <v>22</v>
      </c>
      <c r="N9" s="72">
        <v>22</v>
      </c>
      <c r="O9" s="72">
        <v>22</v>
      </c>
      <c r="P9" s="72">
        <v>22</v>
      </c>
      <c r="Q9" s="72">
        <v>22</v>
      </c>
      <c r="R9" s="72">
        <v>20</v>
      </c>
      <c r="S9" s="72">
        <v>20</v>
      </c>
      <c r="T9" s="72">
        <v>20</v>
      </c>
      <c r="U9" s="72">
        <v>25</v>
      </c>
      <c r="V9" s="72">
        <v>25</v>
      </c>
      <c r="W9" s="72">
        <v>34</v>
      </c>
      <c r="X9" s="72">
        <v>34</v>
      </c>
      <c r="Y9" s="72">
        <v>35</v>
      </c>
      <c r="Z9" s="72">
        <v>34</v>
      </c>
      <c r="AA9" s="72">
        <v>44</v>
      </c>
      <c r="AB9" s="72">
        <v>52</v>
      </c>
      <c r="AD9" s="72">
        <v>60</v>
      </c>
      <c r="AE9" s="72">
        <v>77</v>
      </c>
      <c r="AF9" s="72">
        <v>85</v>
      </c>
      <c r="AG9" s="72">
        <v>74</v>
      </c>
      <c r="AH9" s="72">
        <v>47</v>
      </c>
      <c r="AI9" s="72">
        <v>27</v>
      </c>
      <c r="AJ9" s="72">
        <v>22</v>
      </c>
      <c r="AK9" s="72">
        <v>22</v>
      </c>
    </row>
    <row r="10" spans="1:41" s="72" customFormat="1">
      <c r="A10" s="73" t="s">
        <v>86</v>
      </c>
      <c r="B10" s="72">
        <v>106</v>
      </c>
      <c r="C10" s="72">
        <v>80</v>
      </c>
      <c r="D10" s="72">
        <v>73</v>
      </c>
      <c r="E10" s="72">
        <v>111</v>
      </c>
      <c r="F10" s="72">
        <v>112</v>
      </c>
      <c r="G10" s="72">
        <v>124</v>
      </c>
      <c r="H10" s="72">
        <v>124</v>
      </c>
      <c r="I10" s="72">
        <v>144</v>
      </c>
      <c r="J10" s="72">
        <v>144</v>
      </c>
      <c r="K10" s="72">
        <v>148</v>
      </c>
      <c r="L10" s="72">
        <v>151</v>
      </c>
      <c r="M10" s="72">
        <v>153</v>
      </c>
      <c r="N10" s="72">
        <v>153</v>
      </c>
      <c r="O10" s="72">
        <v>183</v>
      </c>
      <c r="P10" s="72">
        <v>183</v>
      </c>
      <c r="Q10" s="72">
        <v>203</v>
      </c>
      <c r="R10" s="72">
        <v>201</v>
      </c>
      <c r="S10" s="72">
        <v>201</v>
      </c>
      <c r="T10" s="72">
        <v>227</v>
      </c>
      <c r="U10" s="72">
        <v>245</v>
      </c>
      <c r="V10" s="72">
        <v>245</v>
      </c>
      <c r="W10" s="72">
        <v>236</v>
      </c>
      <c r="X10" s="72">
        <v>246</v>
      </c>
      <c r="Y10" s="72">
        <v>271</v>
      </c>
      <c r="Z10" s="72">
        <v>272</v>
      </c>
      <c r="AA10" s="72">
        <v>282</v>
      </c>
      <c r="AB10" s="72">
        <v>282</v>
      </c>
      <c r="AD10" s="72">
        <v>50</v>
      </c>
      <c r="AE10" s="72">
        <v>90</v>
      </c>
      <c r="AF10" s="72">
        <v>90</v>
      </c>
      <c r="AG10" s="72">
        <v>106</v>
      </c>
      <c r="AH10" s="72">
        <v>111</v>
      </c>
      <c r="AI10" s="72">
        <v>144</v>
      </c>
      <c r="AJ10" s="72">
        <v>153</v>
      </c>
      <c r="AK10" s="72">
        <v>203</v>
      </c>
    </row>
    <row r="11" spans="1:41" s="72" customFormat="1"/>
    <row r="12" spans="1:41" s="71" customFormat="1">
      <c r="A12" s="71" t="s">
        <v>208</v>
      </c>
      <c r="B12" s="71">
        <f t="shared" ref="B12:S12" si="20">SUM(B13:B19)</f>
        <v>1414</v>
      </c>
      <c r="C12" s="71">
        <f t="shared" si="20"/>
        <v>1442</v>
      </c>
      <c r="D12" s="71">
        <f t="shared" si="20"/>
        <v>1457</v>
      </c>
      <c r="E12" s="71">
        <f t="shared" si="20"/>
        <v>1490</v>
      </c>
      <c r="F12" s="71">
        <f t="shared" si="20"/>
        <v>1501</v>
      </c>
      <c r="G12" s="71">
        <f t="shared" si="20"/>
        <v>1527</v>
      </c>
      <c r="H12" s="71">
        <f t="shared" si="20"/>
        <v>1544</v>
      </c>
      <c r="I12" s="71">
        <f t="shared" si="20"/>
        <v>1579</v>
      </c>
      <c r="J12" s="71">
        <f t="shared" si="20"/>
        <v>1584</v>
      </c>
      <c r="K12" s="71">
        <f t="shared" si="20"/>
        <v>1588</v>
      </c>
      <c r="L12" s="71">
        <f t="shared" si="20"/>
        <v>1595</v>
      </c>
      <c r="M12" s="71">
        <f t="shared" si="20"/>
        <v>1623</v>
      </c>
      <c r="N12" s="71">
        <f t="shared" si="20"/>
        <v>1632</v>
      </c>
      <c r="O12" s="71">
        <f t="shared" si="20"/>
        <v>1646</v>
      </c>
      <c r="P12" s="71">
        <f t="shared" si="20"/>
        <v>1655</v>
      </c>
      <c r="Q12" s="71">
        <f t="shared" si="20"/>
        <v>1671</v>
      </c>
      <c r="R12" s="71">
        <f t="shared" si="20"/>
        <v>1677</v>
      </c>
      <c r="S12" s="71">
        <f t="shared" si="20"/>
        <v>1688</v>
      </c>
      <c r="T12" s="71">
        <f t="shared" ref="T12:AB12" si="21">SUM(T13:T19)</f>
        <v>1698</v>
      </c>
      <c r="U12" s="71">
        <f t="shared" si="21"/>
        <v>1728</v>
      </c>
      <c r="V12" s="71">
        <f t="shared" si="21"/>
        <v>1735</v>
      </c>
      <c r="W12" s="71">
        <f t="shared" si="21"/>
        <v>1752</v>
      </c>
      <c r="X12" s="71">
        <f t="shared" si="21"/>
        <v>1767</v>
      </c>
      <c r="Y12" s="71">
        <f t="shared" si="21"/>
        <v>1797</v>
      </c>
      <c r="Z12" s="71">
        <f t="shared" si="21"/>
        <v>1804</v>
      </c>
      <c r="AA12" s="71">
        <f t="shared" si="21"/>
        <v>1823</v>
      </c>
      <c r="AB12" s="71">
        <f t="shared" si="21"/>
        <v>1839</v>
      </c>
      <c r="AD12" s="71">
        <f t="shared" ref="AD12:AK12" si="22">SUM(AD13:AD19)</f>
        <v>1090</v>
      </c>
      <c r="AE12" s="71">
        <f t="shared" si="22"/>
        <v>1181</v>
      </c>
      <c r="AF12" s="71">
        <f t="shared" si="22"/>
        <v>1299</v>
      </c>
      <c r="AG12" s="71">
        <f t="shared" si="22"/>
        <v>1400</v>
      </c>
      <c r="AH12" s="71">
        <f t="shared" si="22"/>
        <v>1490</v>
      </c>
      <c r="AI12" s="71">
        <f t="shared" si="22"/>
        <v>1579</v>
      </c>
      <c r="AJ12" s="71">
        <f t="shared" si="22"/>
        <v>1623</v>
      </c>
      <c r="AK12" s="71">
        <f t="shared" si="22"/>
        <v>1671</v>
      </c>
    </row>
    <row r="13" spans="1:41" s="72" customFormat="1">
      <c r="A13" s="73" t="s">
        <v>201</v>
      </c>
      <c r="B13" s="72">
        <v>190</v>
      </c>
      <c r="C13" s="72">
        <v>191</v>
      </c>
      <c r="D13" s="72">
        <v>191</v>
      </c>
      <c r="E13" s="72">
        <v>191</v>
      </c>
      <c r="F13" s="72">
        <v>191</v>
      </c>
      <c r="G13" s="72">
        <v>191</v>
      </c>
      <c r="H13" s="72">
        <v>191</v>
      </c>
      <c r="I13" s="72">
        <v>191</v>
      </c>
      <c r="J13" s="72">
        <v>191</v>
      </c>
      <c r="K13" s="72">
        <v>191</v>
      </c>
      <c r="L13" s="72">
        <v>191</v>
      </c>
      <c r="M13" s="72">
        <v>191</v>
      </c>
      <c r="N13" s="72">
        <v>191</v>
      </c>
      <c r="O13" s="72">
        <v>191</v>
      </c>
      <c r="P13" s="72">
        <v>191</v>
      </c>
      <c r="Q13" s="72">
        <v>191</v>
      </c>
      <c r="R13" s="72">
        <v>191</v>
      </c>
      <c r="S13" s="72">
        <v>191</v>
      </c>
      <c r="T13" s="72">
        <v>191</v>
      </c>
      <c r="U13" s="72">
        <v>191</v>
      </c>
      <c r="V13" s="72">
        <v>191</v>
      </c>
      <c r="W13" s="72">
        <v>191</v>
      </c>
      <c r="X13" s="72">
        <v>191</v>
      </c>
      <c r="Y13" s="72">
        <v>191</v>
      </c>
      <c r="Z13" s="72">
        <f>+Y13</f>
        <v>191</v>
      </c>
      <c r="AA13" s="72">
        <f>+Z13</f>
        <v>191</v>
      </c>
      <c r="AB13" s="72">
        <f>+AA13</f>
        <v>191</v>
      </c>
      <c r="AD13" s="72">
        <v>188</v>
      </c>
      <c r="AE13" s="72">
        <v>190</v>
      </c>
      <c r="AF13" s="72">
        <v>190</v>
      </c>
      <c r="AG13" s="72">
        <v>190</v>
      </c>
      <c r="AH13" s="72">
        <v>191</v>
      </c>
      <c r="AI13" s="72">
        <v>191</v>
      </c>
      <c r="AJ13" s="72">
        <v>191</v>
      </c>
      <c r="AK13" s="72">
        <v>191</v>
      </c>
    </row>
    <row r="14" spans="1:41" s="72" customFormat="1">
      <c r="A14" s="73" t="s">
        <v>85</v>
      </c>
      <c r="B14" s="72">
        <v>511</v>
      </c>
      <c r="C14" s="72">
        <v>531</v>
      </c>
      <c r="D14" s="72">
        <v>544</v>
      </c>
      <c r="E14" s="72">
        <v>567</v>
      </c>
      <c r="F14" s="72">
        <v>577</v>
      </c>
      <c r="G14" s="72">
        <v>599</v>
      </c>
      <c r="H14" s="72">
        <v>612</v>
      </c>
      <c r="I14" s="72">
        <v>634</v>
      </c>
      <c r="J14" s="72">
        <v>637</v>
      </c>
      <c r="K14" s="72">
        <v>639</v>
      </c>
      <c r="L14" s="72">
        <v>645</v>
      </c>
      <c r="M14" s="72">
        <v>666</v>
      </c>
      <c r="N14" s="72">
        <v>668</v>
      </c>
      <c r="O14" s="72">
        <v>675</v>
      </c>
      <c r="P14" s="72">
        <v>681</v>
      </c>
      <c r="Q14" s="72">
        <v>693</v>
      </c>
      <c r="R14" s="72">
        <v>697</v>
      </c>
      <c r="S14" s="72">
        <v>705</v>
      </c>
      <c r="T14" s="72">
        <v>714</v>
      </c>
      <c r="U14" s="72">
        <v>728</v>
      </c>
      <c r="V14" s="72">
        <v>730</v>
      </c>
      <c r="W14" s="72">
        <v>740</v>
      </c>
      <c r="X14" s="72">
        <v>746</v>
      </c>
      <c r="Y14" s="72">
        <f>+X14+14</f>
        <v>760</v>
      </c>
      <c r="Z14" s="72">
        <f>+Y14+3</f>
        <v>763</v>
      </c>
      <c r="AA14" s="72">
        <f>+Z14+8</f>
        <v>771</v>
      </c>
      <c r="AB14" s="72">
        <f>+AA14+4</f>
        <v>775</v>
      </c>
      <c r="AD14" s="72">
        <v>249</v>
      </c>
      <c r="AE14" s="72">
        <v>331</v>
      </c>
      <c r="AF14" s="72">
        <v>421</v>
      </c>
      <c r="AG14" s="72">
        <v>500</v>
      </c>
      <c r="AH14" s="72">
        <v>567</v>
      </c>
      <c r="AI14" s="72">
        <v>634</v>
      </c>
      <c r="AJ14" s="72">
        <v>666</v>
      </c>
      <c r="AK14" s="72">
        <v>693</v>
      </c>
    </row>
    <row r="15" spans="1:41" s="72" customFormat="1">
      <c r="A15" s="73" t="s">
        <v>185</v>
      </c>
      <c r="B15" s="72">
        <v>549</v>
      </c>
      <c r="C15" s="72">
        <v>551</v>
      </c>
      <c r="D15" s="72">
        <v>553</v>
      </c>
      <c r="E15" s="72">
        <v>559</v>
      </c>
      <c r="F15" s="72">
        <v>559</v>
      </c>
      <c r="G15" s="72">
        <v>560</v>
      </c>
      <c r="H15" s="72">
        <v>562</v>
      </c>
      <c r="I15" s="72">
        <v>564</v>
      </c>
      <c r="J15" s="72">
        <v>564</v>
      </c>
      <c r="K15" s="72">
        <v>564</v>
      </c>
      <c r="L15" s="72">
        <v>565</v>
      </c>
      <c r="M15" s="72">
        <v>565</v>
      </c>
      <c r="N15" s="72">
        <v>565</v>
      </c>
      <c r="O15" s="72">
        <v>565</v>
      </c>
      <c r="P15" s="72">
        <v>565</v>
      </c>
      <c r="Q15" s="72">
        <v>565</v>
      </c>
      <c r="R15" s="72">
        <v>565</v>
      </c>
      <c r="S15" s="72">
        <v>565</v>
      </c>
      <c r="T15" s="72">
        <v>565</v>
      </c>
      <c r="U15" s="72">
        <v>568</v>
      </c>
      <c r="V15" s="72">
        <v>568</v>
      </c>
      <c r="W15" s="72">
        <v>568</v>
      </c>
      <c r="X15" s="72">
        <v>568</v>
      </c>
      <c r="Y15" s="72">
        <f>3+X15</f>
        <v>571</v>
      </c>
      <c r="Z15" s="72">
        <f>+Y15</f>
        <v>571</v>
      </c>
      <c r="AA15" s="72">
        <f t="shared" ref="AA15:AA17" si="23">+Z15</f>
        <v>571</v>
      </c>
      <c r="AB15" s="72">
        <f>+AA15</f>
        <v>571</v>
      </c>
      <c r="AD15" s="72">
        <v>515</v>
      </c>
      <c r="AE15" s="72">
        <v>523</v>
      </c>
      <c r="AF15" s="72">
        <v>534</v>
      </c>
      <c r="AG15" s="72">
        <v>546</v>
      </c>
      <c r="AH15" s="72">
        <v>559</v>
      </c>
      <c r="AI15" s="72">
        <v>564</v>
      </c>
      <c r="AJ15" s="72">
        <v>565</v>
      </c>
      <c r="AK15" s="72">
        <v>565</v>
      </c>
    </row>
    <row r="16" spans="1:41" s="72" customFormat="1">
      <c r="A16" s="73" t="s">
        <v>188</v>
      </c>
      <c r="B16" s="72">
        <v>164</v>
      </c>
      <c r="C16" s="72">
        <v>166</v>
      </c>
      <c r="D16" s="72">
        <v>166</v>
      </c>
      <c r="E16" s="72">
        <v>169</v>
      </c>
      <c r="F16" s="72">
        <v>169</v>
      </c>
      <c r="G16" s="72">
        <v>171</v>
      </c>
      <c r="H16" s="72">
        <v>171</v>
      </c>
      <c r="I16" s="72">
        <v>172</v>
      </c>
      <c r="J16" s="72">
        <v>172</v>
      </c>
      <c r="K16" s="72">
        <v>172</v>
      </c>
      <c r="L16" s="72">
        <v>172</v>
      </c>
      <c r="M16" s="72">
        <v>172</v>
      </c>
      <c r="N16" s="72">
        <v>172</v>
      </c>
      <c r="O16" s="72">
        <v>172</v>
      </c>
      <c r="P16" s="72">
        <v>172</v>
      </c>
      <c r="Q16" s="72">
        <v>172</v>
      </c>
      <c r="R16" s="72">
        <v>172</v>
      </c>
      <c r="S16" s="72">
        <v>172</v>
      </c>
      <c r="T16" s="72">
        <v>172</v>
      </c>
      <c r="U16" s="72">
        <v>172</v>
      </c>
      <c r="V16" s="72">
        <v>172</v>
      </c>
      <c r="W16" s="72">
        <v>172</v>
      </c>
      <c r="X16" s="72">
        <v>172</v>
      </c>
      <c r="Y16" s="72">
        <v>172</v>
      </c>
      <c r="Z16" s="72">
        <f>+Y16</f>
        <v>172</v>
      </c>
      <c r="AA16" s="72">
        <f t="shared" si="23"/>
        <v>172</v>
      </c>
      <c r="AB16" s="72">
        <f>+AA16</f>
        <v>172</v>
      </c>
      <c r="AD16" s="72">
        <v>138</v>
      </c>
      <c r="AE16" s="72">
        <v>137</v>
      </c>
      <c r="AF16" s="72">
        <v>154</v>
      </c>
      <c r="AG16" s="72">
        <v>164</v>
      </c>
      <c r="AH16" s="72">
        <v>169</v>
      </c>
      <c r="AI16" s="72">
        <v>172</v>
      </c>
      <c r="AJ16" s="72">
        <v>172</v>
      </c>
      <c r="AK16" s="72">
        <v>172</v>
      </c>
    </row>
    <row r="17" spans="1:37" s="72" customFormat="1">
      <c r="A17" s="73" t="s">
        <v>213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72">
        <v>0</v>
      </c>
      <c r="L17" s="72">
        <v>0</v>
      </c>
      <c r="M17" s="72">
        <v>0</v>
      </c>
      <c r="N17" s="72">
        <v>0</v>
      </c>
      <c r="O17" s="72">
        <v>0</v>
      </c>
      <c r="P17" s="72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>
        <v>0</v>
      </c>
      <c r="Y17" s="72">
        <v>0</v>
      </c>
      <c r="Z17" s="72">
        <v>0</v>
      </c>
      <c r="AA17" s="72">
        <f t="shared" si="23"/>
        <v>0</v>
      </c>
      <c r="AB17" s="72">
        <f>+AA17</f>
        <v>0</v>
      </c>
      <c r="AD17" s="72">
        <v>0</v>
      </c>
      <c r="AE17" s="72">
        <v>0</v>
      </c>
      <c r="AF17" s="72">
        <v>0</v>
      </c>
      <c r="AG17" s="72">
        <v>0</v>
      </c>
      <c r="AH17" s="72">
        <v>0</v>
      </c>
      <c r="AI17" s="72">
        <v>0</v>
      </c>
      <c r="AJ17" s="72">
        <v>0</v>
      </c>
      <c r="AK17" s="72">
        <v>0</v>
      </c>
    </row>
    <row r="18" spans="1:37" s="72" customFormat="1">
      <c r="A18" s="73" t="s">
        <v>180</v>
      </c>
      <c r="B18" s="72">
        <v>0</v>
      </c>
      <c r="C18" s="72">
        <v>3</v>
      </c>
      <c r="D18" s="72">
        <v>3</v>
      </c>
      <c r="E18" s="72">
        <v>4</v>
      </c>
      <c r="F18" s="72">
        <v>5</v>
      </c>
      <c r="G18" s="72">
        <v>6</v>
      </c>
      <c r="H18" s="72">
        <v>7</v>
      </c>
      <c r="I18" s="72">
        <v>11</v>
      </c>
      <c r="J18" s="72">
        <v>12</v>
      </c>
      <c r="K18" s="72">
        <v>14</v>
      </c>
      <c r="L18" s="72">
        <v>14</v>
      </c>
      <c r="M18" s="72">
        <v>15</v>
      </c>
      <c r="N18" s="72">
        <v>17</v>
      </c>
      <c r="O18" s="72">
        <v>17</v>
      </c>
      <c r="P18" s="72">
        <v>17</v>
      </c>
      <c r="Q18" s="72">
        <v>17</v>
      </c>
      <c r="R18" s="72">
        <v>17</v>
      </c>
      <c r="S18" s="72">
        <v>17</v>
      </c>
      <c r="T18" s="72">
        <v>17</v>
      </c>
      <c r="U18" s="72">
        <v>18</v>
      </c>
      <c r="V18" s="72">
        <v>18</v>
      </c>
      <c r="W18" s="72">
        <v>18</v>
      </c>
      <c r="X18" s="72">
        <v>18</v>
      </c>
      <c r="Y18" s="72">
        <f>1+X18</f>
        <v>19</v>
      </c>
      <c r="Z18" s="72">
        <f>+Y18</f>
        <v>19</v>
      </c>
      <c r="AA18" s="72">
        <f>+Z18+4</f>
        <v>23</v>
      </c>
      <c r="AB18" s="72">
        <f>+AA18+2</f>
        <v>25</v>
      </c>
      <c r="AD18" s="72">
        <v>0</v>
      </c>
      <c r="AE18" s="72">
        <v>0</v>
      </c>
      <c r="AF18" s="72">
        <v>0</v>
      </c>
      <c r="AG18" s="72">
        <v>0</v>
      </c>
      <c r="AH18" s="72">
        <v>4</v>
      </c>
      <c r="AI18" s="72">
        <v>11</v>
      </c>
      <c r="AJ18" s="72">
        <v>15</v>
      </c>
      <c r="AK18" s="72">
        <v>17</v>
      </c>
    </row>
    <row r="19" spans="1:37" s="72" customFormat="1">
      <c r="A19" s="73" t="s">
        <v>86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1</v>
      </c>
      <c r="I19" s="72">
        <v>7</v>
      </c>
      <c r="J19" s="72">
        <v>8</v>
      </c>
      <c r="K19" s="72">
        <v>8</v>
      </c>
      <c r="L19" s="72">
        <v>8</v>
      </c>
      <c r="M19" s="72">
        <v>14</v>
      </c>
      <c r="N19" s="72">
        <v>19</v>
      </c>
      <c r="O19" s="72">
        <v>26</v>
      </c>
      <c r="P19" s="72">
        <v>29</v>
      </c>
      <c r="Q19" s="72">
        <v>33</v>
      </c>
      <c r="R19" s="72">
        <v>35</v>
      </c>
      <c r="S19" s="72">
        <v>38</v>
      </c>
      <c r="T19" s="72">
        <v>39</v>
      </c>
      <c r="U19" s="72">
        <v>51</v>
      </c>
      <c r="V19" s="72">
        <v>56</v>
      </c>
      <c r="W19" s="72">
        <v>63</v>
      </c>
      <c r="X19" s="72">
        <v>72</v>
      </c>
      <c r="Y19" s="72">
        <f>12+X19</f>
        <v>84</v>
      </c>
      <c r="Z19" s="72">
        <f>+Y19+4</f>
        <v>88</v>
      </c>
      <c r="AA19" s="72">
        <f>+Z19+7</f>
        <v>95</v>
      </c>
      <c r="AB19" s="72">
        <f>+AA19+10</f>
        <v>105</v>
      </c>
      <c r="AD19" s="72">
        <v>0</v>
      </c>
      <c r="AE19" s="72">
        <v>0</v>
      </c>
      <c r="AF19" s="72">
        <v>0</v>
      </c>
      <c r="AG19" s="72">
        <v>0</v>
      </c>
      <c r="AH19" s="72">
        <v>0</v>
      </c>
      <c r="AI19" s="72">
        <v>7</v>
      </c>
      <c r="AJ19" s="72">
        <v>14</v>
      </c>
      <c r="AK19" s="72">
        <v>33</v>
      </c>
    </row>
    <row r="20" spans="1:37" s="72" customFormat="1">
      <c r="A20" s="73"/>
    </row>
    <row r="21" spans="1:37" s="71" customFormat="1">
      <c r="A21" s="71" t="s">
        <v>207</v>
      </c>
      <c r="B21" s="71">
        <f t="shared" ref="B21:AB21" si="24">SUM(B22:B28)</f>
        <v>421</v>
      </c>
      <c r="C21" s="71">
        <f t="shared" si="24"/>
        <v>360</v>
      </c>
      <c r="D21" s="71">
        <f t="shared" si="24"/>
        <v>251</v>
      </c>
      <c r="E21" s="71">
        <f t="shared" si="24"/>
        <v>368</v>
      </c>
      <c r="F21" s="71">
        <f t="shared" si="24"/>
        <v>359</v>
      </c>
      <c r="G21" s="71">
        <f t="shared" si="24"/>
        <v>363</v>
      </c>
      <c r="H21" s="71">
        <f t="shared" si="24"/>
        <v>345</v>
      </c>
      <c r="I21" s="71">
        <f t="shared" si="24"/>
        <v>338</v>
      </c>
      <c r="J21" s="71">
        <f t="shared" si="24"/>
        <v>318</v>
      </c>
      <c r="K21" s="71">
        <f t="shared" si="24"/>
        <v>314</v>
      </c>
      <c r="L21" s="71">
        <f t="shared" si="24"/>
        <v>307</v>
      </c>
      <c r="M21" s="71">
        <f t="shared" si="24"/>
        <v>281</v>
      </c>
      <c r="N21" s="71">
        <f t="shared" si="24"/>
        <v>272</v>
      </c>
      <c r="O21" s="71">
        <f t="shared" si="24"/>
        <v>306</v>
      </c>
      <c r="P21" s="71">
        <f t="shared" si="24"/>
        <v>313</v>
      </c>
      <c r="Q21" s="71">
        <f t="shared" si="24"/>
        <v>325</v>
      </c>
      <c r="R21" s="71">
        <f t="shared" si="24"/>
        <v>315</v>
      </c>
      <c r="S21" s="71">
        <f t="shared" si="24"/>
        <v>312</v>
      </c>
      <c r="T21" s="71">
        <f t="shared" si="24"/>
        <v>297</v>
      </c>
      <c r="U21" s="71">
        <f t="shared" si="24"/>
        <v>291</v>
      </c>
      <c r="V21" s="71">
        <f t="shared" si="24"/>
        <v>281</v>
      </c>
      <c r="W21" s="71">
        <f t="shared" si="24"/>
        <v>271</v>
      </c>
      <c r="X21" s="71">
        <f t="shared" si="24"/>
        <v>291</v>
      </c>
      <c r="Y21" s="71">
        <f t="shared" si="24"/>
        <v>298</v>
      </c>
      <c r="Z21" s="71">
        <f t="shared" si="24"/>
        <v>381</v>
      </c>
      <c r="AA21" s="71">
        <f t="shared" si="24"/>
        <v>382</v>
      </c>
      <c r="AB21" s="71">
        <f t="shared" si="24"/>
        <v>374</v>
      </c>
      <c r="AD21" s="71">
        <f t="shared" ref="AD21:AK21" si="25">SUM(AD22:AD28)</f>
        <v>459</v>
      </c>
      <c r="AE21" s="71">
        <f t="shared" si="25"/>
        <v>513</v>
      </c>
      <c r="AF21" s="71">
        <f t="shared" si="25"/>
        <v>450</v>
      </c>
      <c r="AG21" s="71">
        <f t="shared" si="25"/>
        <v>435</v>
      </c>
      <c r="AH21" s="71">
        <f t="shared" si="25"/>
        <v>368</v>
      </c>
      <c r="AI21" s="71">
        <f t="shared" si="25"/>
        <v>338</v>
      </c>
      <c r="AJ21" s="71">
        <f t="shared" si="25"/>
        <v>281</v>
      </c>
      <c r="AK21" s="71">
        <f t="shared" si="25"/>
        <v>325</v>
      </c>
    </row>
    <row r="22" spans="1:37" s="72" customFormat="1">
      <c r="A22" s="73" t="s">
        <v>201</v>
      </c>
      <c r="B22" s="72">
        <v>1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0</v>
      </c>
      <c r="K22" s="72">
        <v>0</v>
      </c>
      <c r="L22" s="72">
        <v>0</v>
      </c>
      <c r="M22" s="72">
        <v>0</v>
      </c>
      <c r="N22" s="72">
        <v>0</v>
      </c>
      <c r="O22" s="72">
        <v>0</v>
      </c>
      <c r="P22" s="72">
        <v>0</v>
      </c>
      <c r="Q22" s="72">
        <v>0</v>
      </c>
      <c r="R22" s="72">
        <v>0</v>
      </c>
      <c r="S22" s="72">
        <v>0</v>
      </c>
      <c r="T22" s="72">
        <v>0</v>
      </c>
      <c r="U22" s="72">
        <v>0</v>
      </c>
      <c r="V22" s="72">
        <v>0</v>
      </c>
      <c r="W22" s="72">
        <v>0</v>
      </c>
      <c r="X22" s="72">
        <v>0</v>
      </c>
      <c r="Y22" s="72">
        <v>0</v>
      </c>
      <c r="Z22" s="72">
        <v>0</v>
      </c>
      <c r="AA22" s="72">
        <v>0</v>
      </c>
      <c r="AB22" s="72">
        <v>0</v>
      </c>
      <c r="AD22" s="72">
        <v>5</v>
      </c>
      <c r="AE22" s="72">
        <v>3</v>
      </c>
      <c r="AF22" s="72">
        <v>3</v>
      </c>
      <c r="AG22" s="72">
        <v>1</v>
      </c>
      <c r="AH22" s="72">
        <v>0</v>
      </c>
      <c r="AI22" s="72">
        <v>0</v>
      </c>
      <c r="AJ22" s="72">
        <v>0</v>
      </c>
      <c r="AK22" s="72">
        <v>0</v>
      </c>
    </row>
    <row r="23" spans="1:37" s="72" customFormat="1">
      <c r="A23" s="73" t="s">
        <v>85</v>
      </c>
      <c r="B23" s="72">
        <v>92</v>
      </c>
      <c r="C23" s="72">
        <v>91</v>
      </c>
      <c r="D23" s="72">
        <v>103</v>
      </c>
      <c r="E23" s="72">
        <v>204</v>
      </c>
      <c r="F23" s="72">
        <v>196</v>
      </c>
      <c r="G23" s="72">
        <v>194</v>
      </c>
      <c r="H23" s="72">
        <v>181</v>
      </c>
      <c r="I23" s="72">
        <v>181</v>
      </c>
      <c r="J23" s="72">
        <v>163</v>
      </c>
      <c r="K23" s="72">
        <v>159</v>
      </c>
      <c r="L23" s="72">
        <v>153</v>
      </c>
      <c r="M23" s="72">
        <v>132</v>
      </c>
      <c r="N23" s="72">
        <v>130</v>
      </c>
      <c r="O23" s="72">
        <v>141</v>
      </c>
      <c r="P23" s="72">
        <v>151</v>
      </c>
      <c r="Q23" s="72">
        <v>147</v>
      </c>
      <c r="R23" s="72">
        <v>143</v>
      </c>
      <c r="S23" s="72">
        <v>143</v>
      </c>
      <c r="T23" s="72">
        <v>103</v>
      </c>
      <c r="U23" s="72">
        <v>90</v>
      </c>
      <c r="V23" s="72">
        <v>85</v>
      </c>
      <c r="W23" s="72">
        <v>82</v>
      </c>
      <c r="X23" s="72">
        <v>101</v>
      </c>
      <c r="Y23" s="72">
        <v>182</v>
      </c>
      <c r="Z23" s="72">
        <v>187</v>
      </c>
      <c r="AA23" s="72">
        <v>179</v>
      </c>
      <c r="AB23" s="72">
        <v>175</v>
      </c>
      <c r="AD23" s="72">
        <v>172</v>
      </c>
      <c r="AE23" s="72">
        <v>169</v>
      </c>
      <c r="AF23" s="72">
        <v>104</v>
      </c>
      <c r="AG23" s="72">
        <v>103</v>
      </c>
      <c r="AH23" s="72">
        <v>204</v>
      </c>
      <c r="AI23" s="72">
        <v>181</v>
      </c>
      <c r="AJ23" s="72">
        <v>132</v>
      </c>
      <c r="AK23" s="72">
        <v>147</v>
      </c>
    </row>
    <row r="24" spans="1:37" s="72" customFormat="1">
      <c r="A24" s="73" t="s">
        <v>185</v>
      </c>
      <c r="B24" s="72">
        <v>43</v>
      </c>
      <c r="C24" s="72">
        <v>36</v>
      </c>
      <c r="D24" s="72">
        <v>10</v>
      </c>
      <c r="E24" s="72">
        <v>7</v>
      </c>
      <c r="F24" s="72">
        <v>7</v>
      </c>
      <c r="G24" s="72">
        <v>6</v>
      </c>
      <c r="H24" s="72">
        <v>3</v>
      </c>
      <c r="I24" s="72">
        <v>4</v>
      </c>
      <c r="J24" s="72">
        <v>4</v>
      </c>
      <c r="K24" s="72">
        <v>4</v>
      </c>
      <c r="L24" s="72">
        <v>3</v>
      </c>
      <c r="M24" s="72">
        <v>3</v>
      </c>
      <c r="N24" s="72">
        <v>3</v>
      </c>
      <c r="O24" s="72">
        <v>3</v>
      </c>
      <c r="P24" s="72">
        <v>3</v>
      </c>
      <c r="Q24" s="72">
        <v>3</v>
      </c>
      <c r="R24" s="72">
        <v>3</v>
      </c>
      <c r="S24" s="72">
        <v>3</v>
      </c>
      <c r="T24" s="72">
        <v>3</v>
      </c>
      <c r="U24" s="72">
        <v>0</v>
      </c>
      <c r="V24" s="72">
        <v>0</v>
      </c>
      <c r="W24" s="72">
        <v>0</v>
      </c>
      <c r="X24" s="72">
        <v>0</v>
      </c>
      <c r="Y24" s="72">
        <v>0</v>
      </c>
      <c r="Z24" s="72">
        <v>0</v>
      </c>
      <c r="AA24" s="72">
        <v>0</v>
      </c>
      <c r="AB24" s="72">
        <v>0</v>
      </c>
      <c r="AD24" s="72">
        <v>65</v>
      </c>
      <c r="AE24" s="72">
        <v>55</v>
      </c>
      <c r="AF24" s="72">
        <v>56</v>
      </c>
      <c r="AG24" s="72">
        <v>46</v>
      </c>
      <c r="AH24" s="72">
        <v>7</v>
      </c>
      <c r="AI24" s="72">
        <v>4</v>
      </c>
      <c r="AJ24" s="72">
        <v>3</v>
      </c>
      <c r="AK24" s="72">
        <v>3</v>
      </c>
    </row>
    <row r="25" spans="1:37" s="72" customFormat="1">
      <c r="A25" s="73" t="s">
        <v>188</v>
      </c>
      <c r="B25" s="72">
        <v>5</v>
      </c>
      <c r="C25" s="72">
        <v>6</v>
      </c>
      <c r="D25" s="72">
        <v>6</v>
      </c>
      <c r="E25" s="72">
        <v>3</v>
      </c>
      <c r="F25" s="72">
        <v>3</v>
      </c>
      <c r="G25" s="72">
        <v>1</v>
      </c>
      <c r="H25" s="72">
        <v>1</v>
      </c>
      <c r="I25" s="72">
        <v>0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>
        <v>0</v>
      </c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0</v>
      </c>
      <c r="V25" s="72">
        <v>0</v>
      </c>
      <c r="W25" s="72">
        <v>0</v>
      </c>
      <c r="X25" s="72">
        <v>0</v>
      </c>
      <c r="Y25" s="72">
        <v>0</v>
      </c>
      <c r="Z25" s="72">
        <v>0</v>
      </c>
      <c r="AA25" s="72">
        <v>0</v>
      </c>
      <c r="AB25" s="72">
        <v>0</v>
      </c>
      <c r="AD25" s="72">
        <v>7</v>
      </c>
      <c r="AE25" s="72">
        <v>19</v>
      </c>
      <c r="AF25" s="72">
        <v>12</v>
      </c>
      <c r="AG25" s="72">
        <v>5</v>
      </c>
      <c r="AH25" s="72">
        <v>3</v>
      </c>
      <c r="AI25" s="72">
        <v>0</v>
      </c>
      <c r="AJ25" s="72">
        <v>0</v>
      </c>
      <c r="AK25" s="72">
        <v>0</v>
      </c>
    </row>
    <row r="26" spans="1:37" s="72" customFormat="1">
      <c r="A26" s="73" t="s">
        <v>213</v>
      </c>
      <c r="B26" s="72">
        <v>100</v>
      </c>
      <c r="C26" s="72">
        <v>100</v>
      </c>
      <c r="D26" s="72">
        <v>0</v>
      </c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2">
        <v>0</v>
      </c>
      <c r="V26" s="72">
        <v>0</v>
      </c>
      <c r="W26" s="72">
        <v>0</v>
      </c>
      <c r="X26" s="72">
        <v>0</v>
      </c>
      <c r="Y26" s="72">
        <v>0</v>
      </c>
      <c r="Z26" s="72">
        <v>0</v>
      </c>
      <c r="AA26" s="72">
        <v>0</v>
      </c>
      <c r="AB26" s="72">
        <v>0</v>
      </c>
      <c r="AD26" s="72">
        <v>100</v>
      </c>
      <c r="AE26" s="72">
        <v>100</v>
      </c>
      <c r="AF26" s="72">
        <v>100</v>
      </c>
      <c r="AG26" s="72">
        <v>100</v>
      </c>
      <c r="AH26" s="72">
        <v>0</v>
      </c>
      <c r="AI26" s="72">
        <v>0</v>
      </c>
      <c r="AJ26" s="72">
        <v>0</v>
      </c>
      <c r="AK26" s="72">
        <v>0</v>
      </c>
    </row>
    <row r="27" spans="1:37" s="72" customFormat="1">
      <c r="A27" s="73" t="s">
        <v>180</v>
      </c>
      <c r="B27" s="72">
        <v>74</v>
      </c>
      <c r="C27" s="72">
        <v>47</v>
      </c>
      <c r="D27" s="72">
        <v>59</v>
      </c>
      <c r="E27" s="72">
        <v>43</v>
      </c>
      <c r="F27" s="72">
        <v>41</v>
      </c>
      <c r="G27" s="72">
        <v>38</v>
      </c>
      <c r="H27" s="72">
        <v>37</v>
      </c>
      <c r="I27" s="72">
        <v>16</v>
      </c>
      <c r="J27" s="72">
        <v>15</v>
      </c>
      <c r="K27" s="72">
        <v>11</v>
      </c>
      <c r="L27" s="72">
        <v>8</v>
      </c>
      <c r="M27" s="72">
        <v>7</v>
      </c>
      <c r="N27" s="72">
        <v>5</v>
      </c>
      <c r="O27" s="72">
        <v>5</v>
      </c>
      <c r="P27" s="72">
        <v>5</v>
      </c>
      <c r="Q27" s="72">
        <v>5</v>
      </c>
      <c r="R27" s="72">
        <v>3</v>
      </c>
      <c r="S27" s="72">
        <v>3</v>
      </c>
      <c r="T27" s="72">
        <v>3</v>
      </c>
      <c r="U27" s="72">
        <v>7</v>
      </c>
      <c r="V27" s="72">
        <v>7</v>
      </c>
      <c r="W27" s="72">
        <v>16</v>
      </c>
      <c r="X27" s="72">
        <v>16</v>
      </c>
      <c r="Y27" s="72">
        <v>16</v>
      </c>
      <c r="Z27" s="72">
        <v>15</v>
      </c>
      <c r="AA27" s="72">
        <v>21</v>
      </c>
      <c r="AB27" s="72">
        <v>27</v>
      </c>
      <c r="AD27" s="72">
        <v>60</v>
      </c>
      <c r="AE27" s="72">
        <v>77</v>
      </c>
      <c r="AF27" s="72">
        <v>85</v>
      </c>
      <c r="AG27" s="72">
        <v>74</v>
      </c>
      <c r="AH27" s="72">
        <v>43</v>
      </c>
      <c r="AI27" s="72">
        <v>16</v>
      </c>
      <c r="AJ27" s="72">
        <v>7</v>
      </c>
      <c r="AK27" s="72">
        <v>5</v>
      </c>
    </row>
    <row r="28" spans="1:37" s="72" customFormat="1">
      <c r="A28" s="73" t="s">
        <v>86</v>
      </c>
      <c r="B28" s="72">
        <v>106</v>
      </c>
      <c r="C28" s="72">
        <v>80</v>
      </c>
      <c r="D28" s="72">
        <v>73</v>
      </c>
      <c r="E28" s="72">
        <v>111</v>
      </c>
      <c r="F28" s="72">
        <v>112</v>
      </c>
      <c r="G28" s="72">
        <v>124</v>
      </c>
      <c r="H28" s="72">
        <v>123</v>
      </c>
      <c r="I28" s="72">
        <v>137</v>
      </c>
      <c r="J28" s="72">
        <v>136</v>
      </c>
      <c r="K28" s="72">
        <v>140</v>
      </c>
      <c r="L28" s="72">
        <v>143</v>
      </c>
      <c r="M28" s="72">
        <v>139</v>
      </c>
      <c r="N28" s="72">
        <v>134</v>
      </c>
      <c r="O28" s="72">
        <v>157</v>
      </c>
      <c r="P28" s="72">
        <v>154</v>
      </c>
      <c r="Q28" s="72">
        <v>170</v>
      </c>
      <c r="R28" s="72">
        <v>166</v>
      </c>
      <c r="S28" s="72">
        <v>163</v>
      </c>
      <c r="T28" s="72">
        <v>188</v>
      </c>
      <c r="U28" s="72">
        <v>194</v>
      </c>
      <c r="V28" s="72">
        <v>189</v>
      </c>
      <c r="W28" s="72">
        <v>173</v>
      </c>
      <c r="X28" s="72">
        <v>174</v>
      </c>
      <c r="Y28" s="72">
        <v>100</v>
      </c>
      <c r="Z28" s="72">
        <v>179</v>
      </c>
      <c r="AA28" s="72">
        <v>182</v>
      </c>
      <c r="AB28" s="72">
        <v>172</v>
      </c>
      <c r="AD28" s="72">
        <v>50</v>
      </c>
      <c r="AE28" s="72">
        <v>90</v>
      </c>
      <c r="AF28" s="72">
        <v>90</v>
      </c>
      <c r="AG28" s="72">
        <v>106</v>
      </c>
      <c r="AH28" s="72">
        <v>111</v>
      </c>
      <c r="AI28" s="72">
        <v>137</v>
      </c>
      <c r="AJ28" s="72">
        <v>139</v>
      </c>
      <c r="AK28" s="72">
        <v>170</v>
      </c>
    </row>
    <row r="31" spans="1:37" s="2" customFormat="1" ht="12.75" customHeight="1">
      <c r="A31" s="2" t="s">
        <v>209</v>
      </c>
      <c r="B31" s="90" t="s">
        <v>186</v>
      </c>
      <c r="C31" s="90" t="s">
        <v>186</v>
      </c>
      <c r="D31" s="90" t="s">
        <v>186</v>
      </c>
      <c r="E31" s="90" t="s">
        <v>186</v>
      </c>
      <c r="F31" s="31">
        <f t="shared" ref="F31" si="26">F3/B3-1</f>
        <v>1.3623978201634968E-2</v>
      </c>
      <c r="G31" s="31">
        <f t="shared" ref="G31" si="27">G3/C3-1</f>
        <v>4.8834628190898899E-2</v>
      </c>
      <c r="H31" s="31">
        <f t="shared" ref="H31" si="28">H3/D3-1</f>
        <v>0.10597189695550346</v>
      </c>
      <c r="I31" s="31">
        <f t="shared" ref="I31:L31" si="29">I3/E3-1</f>
        <v>3.1754574811625469E-2</v>
      </c>
      <c r="J31" s="31">
        <f t="shared" si="29"/>
        <v>2.2580645161290214E-2</v>
      </c>
      <c r="K31" s="31">
        <f t="shared" si="29"/>
        <v>6.3492063492063266E-3</v>
      </c>
      <c r="L31" s="31">
        <f t="shared" si="29"/>
        <v>6.8819481206987554E-3</v>
      </c>
      <c r="M31" s="31">
        <f>M3/I3-1</f>
        <v>-6.7814293166406081E-3</v>
      </c>
      <c r="N31" s="31">
        <f t="shared" ref="N31" si="30">N3/J3-1</f>
        <v>1.051524710830698E-3</v>
      </c>
      <c r="O31" s="31">
        <f t="shared" ref="O31" si="31">O3/K3-1</f>
        <v>2.6288117770767672E-2</v>
      </c>
      <c r="P31" s="31">
        <f t="shared" ref="P31" si="32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3">U3/Q3-1</f>
        <v>1.1523046092184464E-2</v>
      </c>
      <c r="V31" s="31">
        <f t="shared" ref="V31" si="34">V3/R3-1</f>
        <v>1.2048192771084265E-2</v>
      </c>
      <c r="W31" s="31">
        <f t="shared" ref="W31" si="35">W3/S3-1</f>
        <v>1.1500000000000066E-2</v>
      </c>
      <c r="X31" s="31">
        <f t="shared" ref="X31" si="36">X3/T3-1</f>
        <v>3.1578947368421151E-2</v>
      </c>
      <c r="Y31" s="31">
        <f t="shared" ref="Y31" si="37">Y3/U3-1</f>
        <v>3.5165923724616244E-2</v>
      </c>
      <c r="Z31" s="31">
        <f t="shared" ref="Z31" si="38">Z3/V3-1</f>
        <v>8.1349206349206282E-2</v>
      </c>
      <c r="AA31" s="31">
        <f t="shared" ref="AA31" si="39">AA3/W3-1</f>
        <v>8.7493821057834875E-2</v>
      </c>
      <c r="AB31" s="31">
        <f t="shared" ref="AB31" si="40">AB3/X3-1</f>
        <v>-1.9922254616132173E-2</v>
      </c>
      <c r="AD31" s="59" t="s">
        <v>186</v>
      </c>
      <c r="AE31" s="31">
        <f t="shared" ref="AE31" si="41">AE3/AD3-1</f>
        <v>0.1000645577792123</v>
      </c>
      <c r="AF31" s="31">
        <f t="shared" ref="AF31" si="42">AF3/AE3-1</f>
        <v>2.6408450704225261E-2</v>
      </c>
      <c r="AG31" s="31">
        <f t="shared" ref="AG31:AH31" si="43">AG3/AF3-1</f>
        <v>4.9170954831332159E-2</v>
      </c>
      <c r="AH31" s="31">
        <f t="shared" si="43"/>
        <v>1.2534059945504161E-2</v>
      </c>
      <c r="AI31" s="31">
        <f>AI3/AH3-1</f>
        <v>3.1754574811625469E-2</v>
      </c>
      <c r="AJ31" s="31">
        <f>AJ3/AI3-1</f>
        <v>-6.7814293166406081E-3</v>
      </c>
      <c r="AK31" s="31">
        <f>AK3/AJ3-1</f>
        <v>4.8319327731092487E-2</v>
      </c>
    </row>
    <row r="32" spans="1:37" s="75" customFormat="1" ht="12.75" customHeight="1">
      <c r="A32" s="79" t="s">
        <v>209</v>
      </c>
      <c r="B32" s="90" t="s">
        <v>186</v>
      </c>
      <c r="C32" s="91" t="s">
        <v>186</v>
      </c>
      <c r="D32" s="91" t="s">
        <v>186</v>
      </c>
      <c r="E32" s="91" t="s">
        <v>186</v>
      </c>
      <c r="F32" s="75">
        <f t="shared" ref="F32" si="44">F3-B3</f>
        <v>25</v>
      </c>
      <c r="G32" s="75">
        <f t="shared" ref="G32" si="45">G3-C3</f>
        <v>88</v>
      </c>
      <c r="H32" s="75">
        <f t="shared" ref="H32" si="46">H3-D3</f>
        <v>181</v>
      </c>
      <c r="I32" s="75">
        <f t="shared" ref="I32:L32" si="47">I3-E3</f>
        <v>59</v>
      </c>
      <c r="J32" s="75">
        <f t="shared" si="47"/>
        <v>42</v>
      </c>
      <c r="K32" s="75">
        <f t="shared" si="47"/>
        <v>12</v>
      </c>
      <c r="L32" s="75">
        <f t="shared" si="47"/>
        <v>13</v>
      </c>
      <c r="M32" s="75">
        <f>M3-I3</f>
        <v>-13</v>
      </c>
      <c r="N32" s="75">
        <f t="shared" ref="N32" si="48">N3-J3</f>
        <v>2</v>
      </c>
      <c r="O32" s="75">
        <f t="shared" ref="O32" si="49">O3-K3</f>
        <v>50</v>
      </c>
      <c r="P32" s="75">
        <f t="shared" ref="P32" si="50">P3-L3</f>
        <v>66</v>
      </c>
      <c r="Q32" s="75">
        <f>Q3-M3</f>
        <v>92</v>
      </c>
      <c r="R32" s="75">
        <f>R3-N3</f>
        <v>88</v>
      </c>
      <c r="S32" s="75">
        <f>S3-O3</f>
        <v>48</v>
      </c>
      <c r="T32" s="75">
        <f>T3-P3</f>
        <v>27</v>
      </c>
      <c r="U32" s="75">
        <f t="shared" ref="U32" si="51">U3-Q3</f>
        <v>23</v>
      </c>
      <c r="V32" s="75">
        <f t="shared" ref="V32" si="52">V3-R3</f>
        <v>24</v>
      </c>
      <c r="W32" s="75">
        <f t="shared" ref="W32" si="53">W3-S3</f>
        <v>23</v>
      </c>
      <c r="X32" s="75">
        <f t="shared" ref="X32" si="54">X3-T3</f>
        <v>63</v>
      </c>
      <c r="Y32" s="75">
        <f t="shared" ref="Y32" si="55">Y3-U3</f>
        <v>71</v>
      </c>
      <c r="Z32" s="75">
        <f t="shared" ref="Z32" si="56">Z3-V3</f>
        <v>164</v>
      </c>
      <c r="AA32" s="75">
        <f t="shared" ref="AA32" si="57">AA3-W3</f>
        <v>177</v>
      </c>
      <c r="AB32" s="75">
        <f t="shared" ref="AB32" si="58">AB3-X3</f>
        <v>-41</v>
      </c>
      <c r="AD32" s="59" t="s">
        <v>186</v>
      </c>
      <c r="AE32" s="75">
        <f t="shared" ref="AE32" si="59">AE3-AD3</f>
        <v>155</v>
      </c>
      <c r="AF32" s="75">
        <f t="shared" ref="AF32" si="60">AF3-AE3</f>
        <v>45</v>
      </c>
      <c r="AG32" s="75">
        <f t="shared" ref="AG32:AH32" si="61">AG3-AF3</f>
        <v>86</v>
      </c>
      <c r="AH32" s="75">
        <f t="shared" si="61"/>
        <v>23</v>
      </c>
      <c r="AI32" s="75">
        <f>AI3-AH3</f>
        <v>59</v>
      </c>
      <c r="AJ32" s="75">
        <f>AJ3-AI3</f>
        <v>-13</v>
      </c>
      <c r="AK32" s="75">
        <f>AK3-AJ3</f>
        <v>92</v>
      </c>
    </row>
    <row r="33" spans="1:37" ht="12.75" customHeight="1">
      <c r="A33" s="3" t="s">
        <v>210</v>
      </c>
      <c r="B33" s="90" t="s">
        <v>186</v>
      </c>
      <c r="C33" s="24">
        <f t="shared" ref="C33" si="62">C3/B3-1</f>
        <v>-1.7983651226158082E-2</v>
      </c>
      <c r="D33" s="24">
        <f t="shared" ref="D33" si="63">D3/C3-1</f>
        <v>-5.2164261931187617E-2</v>
      </c>
      <c r="E33" s="24">
        <f t="shared" ref="E33" si="64">E3/D3-1</f>
        <v>8.7822014051522235E-2</v>
      </c>
      <c r="F33" s="24">
        <f t="shared" ref="F33" si="65">F3/E3-1</f>
        <v>1.0764262648008671E-3</v>
      </c>
      <c r="G33" s="24">
        <f t="shared" ref="G33" si="66">G3/F3-1</f>
        <v>1.6129032258064502E-2</v>
      </c>
      <c r="H33" s="24">
        <f t="shared" ref="H33" si="67">H3/G3-1</f>
        <v>-5.2910052910049021E-4</v>
      </c>
      <c r="I33" s="24">
        <f t="shared" ref="I33" si="68">I3/H3-1</f>
        <v>1.4822657490735747E-2</v>
      </c>
      <c r="J33" s="24">
        <f t="shared" ref="J33" si="69">J3/I3-1</f>
        <v>-7.8247261345852914E-3</v>
      </c>
      <c r="K33" s="24">
        <f t="shared" ref="K33" si="70">K3/J3-1</f>
        <v>0</v>
      </c>
      <c r="L33" s="24">
        <f t="shared" ref="L33" si="71">L3/K3-1</f>
        <v>0</v>
      </c>
      <c r="M33" s="24">
        <f t="shared" ref="M33" si="72">M3/L3-1</f>
        <v>1.051524710830698E-3</v>
      </c>
      <c r="N33" s="24">
        <f t="shared" ref="N33" si="73">N3/M3-1</f>
        <v>0</v>
      </c>
      <c r="O33" s="24">
        <f t="shared" ref="O33" si="74">O3/N3-1</f>
        <v>2.5210084033613356E-2</v>
      </c>
      <c r="P33" s="24">
        <f t="shared" ref="P33:T33" si="75">P3/O3-1</f>
        <v>8.1967213114753079E-3</v>
      </c>
      <c r="Q33" s="24">
        <f t="shared" si="75"/>
        <v>1.4227642276422703E-2</v>
      </c>
      <c r="R33" s="24">
        <f t="shared" si="75"/>
        <v>-2.0040080160320661E-3</v>
      </c>
      <c r="S33" s="24">
        <f t="shared" si="75"/>
        <v>4.0160642570281624E-3</v>
      </c>
      <c r="T33" s="24">
        <f t="shared" si="75"/>
        <v>-2.4999999999999467E-3</v>
      </c>
      <c r="U33" s="24">
        <f t="shared" ref="U33" si="76">U3/T3-1</f>
        <v>1.2030075187969835E-2</v>
      </c>
      <c r="V33" s="24">
        <f t="shared" ref="V33" si="77">V3/U3-1</f>
        <v>-1.4858841010401136E-3</v>
      </c>
      <c r="W33" s="24">
        <f t="shared" ref="W33" si="78">W3/V3-1</f>
        <v>3.4722222222223209E-3</v>
      </c>
      <c r="X33" s="24">
        <f t="shared" ref="X33" si="79">X3/W3-1</f>
        <v>1.730103806228378E-2</v>
      </c>
      <c r="Y33" s="24">
        <f t="shared" ref="Y33" si="80">Y3/X3-1</f>
        <v>1.554907677356665E-2</v>
      </c>
      <c r="Z33" s="24">
        <f t="shared" ref="Z33" si="81">Z3/Y3-1</f>
        <v>4.3062200956937691E-2</v>
      </c>
      <c r="AA33" s="24">
        <f t="shared" ref="AA33" si="82">AA3/Z3-1</f>
        <v>9.1743119266054496E-3</v>
      </c>
      <c r="AB33" s="24">
        <f t="shared" ref="AB33" si="83">AB3/AA3-1</f>
        <v>-8.3181818181818135E-2</v>
      </c>
      <c r="AD33" s="59" t="s">
        <v>186</v>
      </c>
      <c r="AE33" s="59" t="s">
        <v>186</v>
      </c>
      <c r="AF33" s="59" t="s">
        <v>186</v>
      </c>
      <c r="AG33" s="59" t="s">
        <v>186</v>
      </c>
      <c r="AH33" s="59" t="s">
        <v>186</v>
      </c>
      <c r="AI33" s="59" t="s">
        <v>186</v>
      </c>
      <c r="AJ33" s="59" t="s">
        <v>186</v>
      </c>
      <c r="AK33" s="59" t="s">
        <v>186</v>
      </c>
    </row>
    <row r="34" spans="1:37" s="76" customFormat="1" ht="12.75" customHeight="1">
      <c r="A34" s="80" t="s">
        <v>210</v>
      </c>
      <c r="B34" s="90" t="s">
        <v>186</v>
      </c>
      <c r="C34" s="75">
        <f t="shared" ref="C34" si="84">C3-B3</f>
        <v>-33</v>
      </c>
      <c r="D34" s="75">
        <f t="shared" ref="D34" si="85">D3-C3</f>
        <v>-94</v>
      </c>
      <c r="E34" s="75">
        <f t="shared" ref="E34" si="86">E3-D3</f>
        <v>150</v>
      </c>
      <c r="F34" s="75">
        <f t="shared" ref="F34" si="87">F3-E3</f>
        <v>2</v>
      </c>
      <c r="G34" s="75">
        <f t="shared" ref="G34" si="88">G3-F3</f>
        <v>30</v>
      </c>
      <c r="H34" s="75">
        <f t="shared" ref="H34" si="89">H3-G3</f>
        <v>-1</v>
      </c>
      <c r="I34" s="75">
        <f t="shared" ref="I34" si="90">I3-H3</f>
        <v>28</v>
      </c>
      <c r="J34" s="75">
        <f t="shared" ref="J34" si="91">J3-I3</f>
        <v>-15</v>
      </c>
      <c r="K34" s="75">
        <f t="shared" ref="K34" si="92">K3-J3</f>
        <v>0</v>
      </c>
      <c r="L34" s="75">
        <f t="shared" ref="L34" si="93">L3-K3</f>
        <v>0</v>
      </c>
      <c r="M34" s="75">
        <f t="shared" ref="M34" si="94">M3-L3</f>
        <v>2</v>
      </c>
      <c r="N34" s="75">
        <f t="shared" ref="N34" si="95">N3-M3</f>
        <v>0</v>
      </c>
      <c r="O34" s="75">
        <f t="shared" ref="O34" si="96">O3-N3</f>
        <v>48</v>
      </c>
      <c r="P34" s="75">
        <f t="shared" ref="P34:T34" si="97">P3-O3</f>
        <v>16</v>
      </c>
      <c r="Q34" s="75">
        <f t="shared" si="97"/>
        <v>28</v>
      </c>
      <c r="R34" s="75">
        <f t="shared" si="97"/>
        <v>-4</v>
      </c>
      <c r="S34" s="75">
        <f t="shared" si="97"/>
        <v>8</v>
      </c>
      <c r="T34" s="75">
        <f t="shared" si="97"/>
        <v>-5</v>
      </c>
      <c r="U34" s="75">
        <f t="shared" ref="U34" si="98">U3-T3</f>
        <v>24</v>
      </c>
      <c r="V34" s="75">
        <f t="shared" ref="V34" si="99">V3-U3</f>
        <v>-3</v>
      </c>
      <c r="W34" s="75">
        <f t="shared" ref="W34" si="100">W3-V3</f>
        <v>7</v>
      </c>
      <c r="X34" s="75">
        <f t="shared" ref="X34" si="101">X3-W3</f>
        <v>35</v>
      </c>
      <c r="Y34" s="75">
        <f t="shared" ref="Y34" si="102">Y3-X3</f>
        <v>32</v>
      </c>
      <c r="Z34" s="75">
        <f t="shared" ref="Z34" si="103">Z3-Y3</f>
        <v>90</v>
      </c>
      <c r="AA34" s="75">
        <f t="shared" ref="AA34" si="104">AA3-Z3</f>
        <v>20</v>
      </c>
      <c r="AB34" s="75">
        <f t="shared" ref="AB34" si="105">AB3-AA3</f>
        <v>-183</v>
      </c>
      <c r="AD34" s="59" t="s">
        <v>186</v>
      </c>
      <c r="AE34" s="59" t="s">
        <v>186</v>
      </c>
      <c r="AF34" s="59" t="s">
        <v>186</v>
      </c>
      <c r="AG34" s="59" t="s">
        <v>186</v>
      </c>
      <c r="AH34" s="59" t="s">
        <v>186</v>
      </c>
      <c r="AI34" s="59" t="s">
        <v>186</v>
      </c>
      <c r="AJ34" s="59" t="s">
        <v>186</v>
      </c>
      <c r="AK34" s="59" t="s">
        <v>186</v>
      </c>
    </row>
    <row r="35" spans="1:37" ht="12.75" customHeight="1">
      <c r="AK35" s="24"/>
    </row>
    <row r="36" spans="1:37" s="2" customFormat="1" ht="12.75" customHeight="1">
      <c r="A36" s="2" t="s">
        <v>202</v>
      </c>
      <c r="B36" s="90" t="s">
        <v>186</v>
      </c>
      <c r="C36" s="90" t="s">
        <v>186</v>
      </c>
      <c r="D36" s="90" t="s">
        <v>186</v>
      </c>
      <c r="E36" s="90" t="s">
        <v>186</v>
      </c>
      <c r="F36" s="31">
        <f t="shared" ref="F36" si="106">F12/B12-1</f>
        <v>6.1527581329561487E-2</v>
      </c>
      <c r="G36" s="31">
        <f t="shared" ref="G36" si="107">G12/C12-1</f>
        <v>5.8945908460471541E-2</v>
      </c>
      <c r="H36" s="31">
        <f t="shared" ref="H36" si="108">H12/D12-1</f>
        <v>5.9711736444749475E-2</v>
      </c>
      <c r="I36" s="31">
        <f t="shared" ref="I36:L36" si="109">I12/E12-1</f>
        <v>5.9731543624160999E-2</v>
      </c>
      <c r="J36" s="31">
        <f t="shared" si="109"/>
        <v>5.5296469020652994E-2</v>
      </c>
      <c r="K36" s="31">
        <f t="shared" si="109"/>
        <v>3.9947609692206898E-2</v>
      </c>
      <c r="L36" s="31">
        <f t="shared" si="109"/>
        <v>3.303108808290145E-2</v>
      </c>
      <c r="M36" s="31">
        <f>M12/I12-1</f>
        <v>2.7865737808739688E-2</v>
      </c>
      <c r="N36" s="31">
        <f t="shared" ref="N36" si="110">N12/J12-1</f>
        <v>3.0303030303030276E-2</v>
      </c>
      <c r="O36" s="31">
        <f t="shared" ref="O36" si="111">O12/K12-1</f>
        <v>3.6523929471032668E-2</v>
      </c>
      <c r="P36" s="31">
        <f t="shared" ref="P36" si="112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113">U12/Q12-1</f>
        <v>3.4111310592459532E-2</v>
      </c>
      <c r="V36" s="31">
        <f t="shared" ref="V36" si="114">V12/R12-1</f>
        <v>3.4585569469290478E-2</v>
      </c>
      <c r="W36" s="31">
        <f t="shared" ref="W36" si="115">W12/S12-1</f>
        <v>3.7914691943127909E-2</v>
      </c>
      <c r="X36" s="31">
        <f t="shared" ref="X36" si="116">X12/T12-1</f>
        <v>4.0636042402826922E-2</v>
      </c>
      <c r="Y36" s="31">
        <f t="shared" ref="Y36" si="117">Y12/U12-1</f>
        <v>3.993055555555558E-2</v>
      </c>
      <c r="Z36" s="31">
        <f t="shared" ref="Z36" si="118">Z12/V12-1</f>
        <v>3.9769452449567755E-2</v>
      </c>
      <c r="AA36" s="31">
        <f t="shared" ref="AA36" si="119">AA12/W12-1</f>
        <v>4.0525114155251174E-2</v>
      </c>
      <c r="AB36" s="31">
        <f t="shared" ref="AB36" si="120">AB12/X12-1</f>
        <v>4.0747028862478718E-2</v>
      </c>
      <c r="AD36" s="59" t="s">
        <v>186</v>
      </c>
      <c r="AE36" s="31">
        <f t="shared" ref="AE36" si="121">AE12/AD12-1</f>
        <v>8.3486238532110013E-2</v>
      </c>
      <c r="AF36" s="31">
        <f t="shared" ref="AF36" si="122">AF12/AE12-1</f>
        <v>9.9915325994919479E-2</v>
      </c>
      <c r="AG36" s="31">
        <f t="shared" ref="AG36:AH36" si="123">AG12/AF12-1</f>
        <v>7.7752117013087041E-2</v>
      </c>
      <c r="AH36" s="31">
        <f t="shared" si="123"/>
        <v>6.4285714285714279E-2</v>
      </c>
      <c r="AI36" s="31">
        <f>AI12/AH12-1</f>
        <v>5.9731543624160999E-2</v>
      </c>
      <c r="AJ36" s="31">
        <f>AJ12/AI12-1</f>
        <v>2.7865737808739688E-2</v>
      </c>
      <c r="AK36" s="31">
        <f>AK12/AJ12-1</f>
        <v>2.9574861367837268E-2</v>
      </c>
    </row>
    <row r="37" spans="1:37" s="75" customFormat="1" ht="12.75" customHeight="1">
      <c r="A37" s="79" t="s">
        <v>202</v>
      </c>
      <c r="B37" s="90" t="s">
        <v>186</v>
      </c>
      <c r="C37" s="91" t="s">
        <v>186</v>
      </c>
      <c r="D37" s="91" t="s">
        <v>186</v>
      </c>
      <c r="E37" s="91" t="s">
        <v>186</v>
      </c>
      <c r="F37" s="75">
        <f t="shared" ref="F37" si="124">F12-B12</f>
        <v>87</v>
      </c>
      <c r="G37" s="75">
        <f t="shared" ref="G37" si="125">G12-C12</f>
        <v>85</v>
      </c>
      <c r="H37" s="75">
        <f t="shared" ref="H37" si="126">H12-D12</f>
        <v>87</v>
      </c>
      <c r="I37" s="75">
        <f t="shared" ref="I37:L37" si="127">I12-E12</f>
        <v>89</v>
      </c>
      <c r="J37" s="75">
        <f t="shared" si="127"/>
        <v>83</v>
      </c>
      <c r="K37" s="75">
        <f t="shared" si="127"/>
        <v>61</v>
      </c>
      <c r="L37" s="75">
        <f t="shared" si="127"/>
        <v>51</v>
      </c>
      <c r="M37" s="75">
        <f>M12-I12</f>
        <v>44</v>
      </c>
      <c r="N37" s="75">
        <f t="shared" ref="N37" si="128">N12-J12</f>
        <v>48</v>
      </c>
      <c r="O37" s="75">
        <f t="shared" ref="O37" si="129">O12-K12</f>
        <v>58</v>
      </c>
      <c r="P37" s="75">
        <f t="shared" ref="P37" si="130">P12-L12</f>
        <v>60</v>
      </c>
      <c r="Q37" s="75">
        <f>Q12-M12</f>
        <v>48</v>
      </c>
      <c r="R37" s="75">
        <f>R12-N12</f>
        <v>45</v>
      </c>
      <c r="S37" s="75">
        <f>S12-O12</f>
        <v>42</v>
      </c>
      <c r="T37" s="75">
        <f>T12-P12</f>
        <v>43</v>
      </c>
      <c r="U37" s="75">
        <f t="shared" ref="U37" si="131">U12-Q12</f>
        <v>57</v>
      </c>
      <c r="V37" s="75">
        <f t="shared" ref="V37" si="132">V12-R12</f>
        <v>58</v>
      </c>
      <c r="W37" s="75">
        <f t="shared" ref="W37" si="133">W12-S12</f>
        <v>64</v>
      </c>
      <c r="X37" s="75">
        <f t="shared" ref="X37" si="134">X12-T12</f>
        <v>69</v>
      </c>
      <c r="Y37" s="75">
        <f t="shared" ref="Y37" si="135">Y12-U12</f>
        <v>69</v>
      </c>
      <c r="Z37" s="75">
        <f t="shared" ref="Z37" si="136">Z12-V12</f>
        <v>69</v>
      </c>
      <c r="AA37" s="75">
        <f t="shared" ref="AA37" si="137">AA12-W12</f>
        <v>71</v>
      </c>
      <c r="AB37" s="75">
        <f t="shared" ref="AB37" si="138">AB12-X12</f>
        <v>72</v>
      </c>
      <c r="AD37" s="59" t="s">
        <v>186</v>
      </c>
      <c r="AE37" s="75">
        <f t="shared" ref="AE37" si="139">AE12-AD12</f>
        <v>91</v>
      </c>
      <c r="AF37" s="75">
        <f t="shared" ref="AF37" si="140">AF12-AE12</f>
        <v>118</v>
      </c>
      <c r="AG37" s="75">
        <f t="shared" ref="AG37:AH37" si="141">AG12-AF12</f>
        <v>101</v>
      </c>
      <c r="AH37" s="75">
        <f t="shared" si="141"/>
        <v>90</v>
      </c>
      <c r="AI37" s="75">
        <f>AI12-AH12</f>
        <v>89</v>
      </c>
      <c r="AJ37" s="75">
        <f>AJ12-AI12</f>
        <v>44</v>
      </c>
      <c r="AK37" s="75">
        <f>AK12-AJ12</f>
        <v>48</v>
      </c>
    </row>
    <row r="38" spans="1:37" ht="12.75" customHeight="1">
      <c r="A38" s="3" t="s">
        <v>203</v>
      </c>
      <c r="B38" s="90" t="s">
        <v>186</v>
      </c>
      <c r="C38" s="24">
        <f t="shared" ref="C38" si="142">C12/B12-1</f>
        <v>1.980198019801982E-2</v>
      </c>
      <c r="D38" s="24">
        <f t="shared" ref="D38" si="143">D12/C12-1</f>
        <v>1.0402219140083213E-2</v>
      </c>
      <c r="E38" s="24">
        <f t="shared" ref="E38" si="144">E12/D12-1</f>
        <v>2.2649279341111939E-2</v>
      </c>
      <c r="F38" s="24">
        <f t="shared" ref="F38" si="145">F12/E12-1</f>
        <v>7.382550335570448E-3</v>
      </c>
      <c r="G38" s="24">
        <f t="shared" ref="G38" si="146">G12/F12-1</f>
        <v>1.7321785476348994E-2</v>
      </c>
      <c r="H38" s="24">
        <f t="shared" ref="H38" si="147">H12/G12-1</f>
        <v>1.1132940406024971E-2</v>
      </c>
      <c r="I38" s="24">
        <f t="shared" ref="I38" si="148">I12/H12-1</f>
        <v>2.26683937823835E-2</v>
      </c>
      <c r="J38" s="24">
        <f t="shared" ref="J38" si="149">J12/I12-1</f>
        <v>3.1665611146294292E-3</v>
      </c>
      <c r="K38" s="24">
        <f t="shared" ref="K38" si="150">K12/J12-1</f>
        <v>2.525252525252597E-3</v>
      </c>
      <c r="L38" s="24">
        <f t="shared" ref="L38" si="151">L12/K12-1</f>
        <v>4.4080604534004753E-3</v>
      </c>
      <c r="M38" s="24">
        <f t="shared" ref="M38" si="152">M12/L12-1</f>
        <v>1.7554858934169193E-2</v>
      </c>
      <c r="N38" s="24">
        <f t="shared" ref="N38" si="153">N12/M12-1</f>
        <v>5.5452865064695711E-3</v>
      </c>
      <c r="O38" s="24">
        <f t="shared" ref="O38" si="154">O12/N12-1</f>
        <v>8.5784313725489891E-3</v>
      </c>
      <c r="P38" s="24">
        <f t="shared" ref="P38:T38" si="155">P12/O12-1</f>
        <v>5.4678007290400732E-3</v>
      </c>
      <c r="Q38" s="24">
        <f t="shared" si="155"/>
        <v>9.6676737160121817E-3</v>
      </c>
      <c r="R38" s="24">
        <f t="shared" si="155"/>
        <v>3.5906642728904536E-3</v>
      </c>
      <c r="S38" s="24">
        <f t="shared" si="155"/>
        <v>6.5593321407275695E-3</v>
      </c>
      <c r="T38" s="24">
        <f t="shared" si="155"/>
        <v>5.924170616113722E-3</v>
      </c>
      <c r="U38" s="24">
        <f t="shared" ref="U38" si="156">U12/T12-1</f>
        <v>1.7667844522968101E-2</v>
      </c>
      <c r="V38" s="24">
        <f t="shared" ref="V38" si="157">V12/U12-1</f>
        <v>4.050925925925819E-3</v>
      </c>
      <c r="W38" s="24">
        <f t="shared" ref="W38" si="158">W12/V12-1</f>
        <v>9.7982708933717078E-3</v>
      </c>
      <c r="X38" s="24">
        <f t="shared" ref="X38" si="159">X12/W12-1</f>
        <v>8.5616438356164171E-3</v>
      </c>
      <c r="Y38" s="24">
        <f t="shared" ref="Y38" si="160">Y12/X12-1</f>
        <v>1.6977928692699429E-2</v>
      </c>
      <c r="Z38" s="24">
        <f t="shared" ref="Z38" si="161">Z12/Y12-1</f>
        <v>3.8953811908737368E-3</v>
      </c>
      <c r="AA38" s="24">
        <f t="shared" ref="AA38" si="162">AA12/Z12-1</f>
        <v>1.0532150776053184E-2</v>
      </c>
      <c r="AB38" s="24">
        <f t="shared" ref="AB38" si="163">AB12/AA12-1</f>
        <v>8.7767416346682392E-3</v>
      </c>
      <c r="AD38" s="59" t="s">
        <v>186</v>
      </c>
      <c r="AE38" s="59" t="s">
        <v>186</v>
      </c>
      <c r="AF38" s="59" t="s">
        <v>186</v>
      </c>
      <c r="AG38" s="59" t="s">
        <v>186</v>
      </c>
      <c r="AH38" s="59" t="s">
        <v>186</v>
      </c>
      <c r="AI38" s="59" t="s">
        <v>186</v>
      </c>
      <c r="AJ38" s="59" t="s">
        <v>186</v>
      </c>
      <c r="AK38" s="59" t="s">
        <v>186</v>
      </c>
    </row>
    <row r="39" spans="1:37" s="77" customFormat="1" ht="12.75" customHeight="1">
      <c r="A39" s="81" t="s">
        <v>203</v>
      </c>
      <c r="B39" s="90" t="s">
        <v>186</v>
      </c>
      <c r="C39" s="75">
        <f t="shared" ref="C39" si="164">C12-B12</f>
        <v>28</v>
      </c>
      <c r="D39" s="75">
        <f t="shared" ref="D39" si="165">D12-C12</f>
        <v>15</v>
      </c>
      <c r="E39" s="75">
        <f t="shared" ref="E39" si="166">E12-D12</f>
        <v>33</v>
      </c>
      <c r="F39" s="75">
        <f t="shared" ref="F39" si="167">F12-E12</f>
        <v>11</v>
      </c>
      <c r="G39" s="75">
        <f t="shared" ref="G39" si="168">G12-F12</f>
        <v>26</v>
      </c>
      <c r="H39" s="75">
        <f t="shared" ref="H39" si="169">H12-G12</f>
        <v>17</v>
      </c>
      <c r="I39" s="75">
        <f t="shared" ref="I39" si="170">I12-H12</f>
        <v>35</v>
      </c>
      <c r="J39" s="75">
        <f t="shared" ref="J39" si="171">J12-I12</f>
        <v>5</v>
      </c>
      <c r="K39" s="75">
        <f t="shared" ref="K39" si="172">K12-J12</f>
        <v>4</v>
      </c>
      <c r="L39" s="75">
        <f t="shared" ref="L39" si="173">L12-K12</f>
        <v>7</v>
      </c>
      <c r="M39" s="75">
        <f t="shared" ref="M39" si="174">M12-L12</f>
        <v>28</v>
      </c>
      <c r="N39" s="75">
        <f t="shared" ref="N39" si="175">N12-M12</f>
        <v>9</v>
      </c>
      <c r="O39" s="75">
        <f t="shared" ref="O39" si="176">O12-N12</f>
        <v>14</v>
      </c>
      <c r="P39" s="75">
        <f t="shared" ref="P39:T39" si="177">P12-O12</f>
        <v>9</v>
      </c>
      <c r="Q39" s="75">
        <f t="shared" si="177"/>
        <v>16</v>
      </c>
      <c r="R39" s="75">
        <f t="shared" si="177"/>
        <v>6</v>
      </c>
      <c r="S39" s="75">
        <f t="shared" si="177"/>
        <v>11</v>
      </c>
      <c r="T39" s="75">
        <f t="shared" si="177"/>
        <v>10</v>
      </c>
      <c r="U39" s="75">
        <f t="shared" ref="U39" si="178">U12-T12</f>
        <v>30</v>
      </c>
      <c r="V39" s="75">
        <f t="shared" ref="V39" si="179">V12-U12</f>
        <v>7</v>
      </c>
      <c r="W39" s="75">
        <f t="shared" ref="W39" si="180">W12-V12</f>
        <v>17</v>
      </c>
      <c r="X39" s="75">
        <f t="shared" ref="X39" si="181">X12-W12</f>
        <v>15</v>
      </c>
      <c r="Y39" s="75">
        <f t="shared" ref="Y39" si="182">Y12-X12</f>
        <v>30</v>
      </c>
      <c r="Z39" s="75">
        <f t="shared" ref="Z39" si="183">Z12-Y12</f>
        <v>7</v>
      </c>
      <c r="AA39" s="75">
        <f t="shared" ref="AA39" si="184">AA12-Z12</f>
        <v>19</v>
      </c>
      <c r="AB39" s="75">
        <f t="shared" ref="AB39" si="185">AB12-AA12</f>
        <v>16</v>
      </c>
      <c r="AD39" s="59" t="s">
        <v>186</v>
      </c>
      <c r="AE39" s="59" t="s">
        <v>186</v>
      </c>
      <c r="AF39" s="59" t="s">
        <v>186</v>
      </c>
      <c r="AG39" s="59" t="s">
        <v>186</v>
      </c>
      <c r="AH39" s="59" t="s">
        <v>186</v>
      </c>
      <c r="AI39" s="59" t="s">
        <v>186</v>
      </c>
      <c r="AJ39" s="59" t="s">
        <v>186</v>
      </c>
      <c r="AK39" s="59" t="s">
        <v>186</v>
      </c>
    </row>
    <row r="40" spans="1:37" ht="12.75" customHeight="1">
      <c r="AK40" s="24"/>
    </row>
    <row r="41" spans="1:37" s="2" customFormat="1" ht="12.75" customHeight="1">
      <c r="A41" s="2" t="s">
        <v>211</v>
      </c>
      <c r="B41" s="90" t="s">
        <v>186</v>
      </c>
      <c r="C41" s="90" t="s">
        <v>186</v>
      </c>
      <c r="D41" s="90" t="s">
        <v>186</v>
      </c>
      <c r="E41" s="90" t="s">
        <v>186</v>
      </c>
      <c r="F41" s="31">
        <f t="shared" ref="F41" si="186">F21/B21-1</f>
        <v>-0.14726840855106893</v>
      </c>
      <c r="G41" s="31">
        <f t="shared" ref="G41" si="187">G21/C21-1</f>
        <v>8.3333333333333037E-3</v>
      </c>
      <c r="H41" s="31">
        <f t="shared" ref="H41" si="188">H21/D21-1</f>
        <v>0.3745019920318724</v>
      </c>
      <c r="I41" s="31">
        <f t="shared" ref="I41" si="189">I21/E21-1</f>
        <v>-8.1521739130434812E-2</v>
      </c>
      <c r="J41" s="31">
        <f t="shared" ref="J41" si="190">J21/F21-1</f>
        <v>-0.11420612813370479</v>
      </c>
      <c r="K41" s="31">
        <f t="shared" ref="K41" si="191">K21/G21-1</f>
        <v>-0.13498622589531684</v>
      </c>
      <c r="L41" s="31">
        <f t="shared" ref="L41" si="192">L21/H21-1</f>
        <v>-0.11014492753623184</v>
      </c>
      <c r="M41" s="31">
        <f t="shared" ref="M41" si="193">M21/I21-1</f>
        <v>-0.16863905325443784</v>
      </c>
      <c r="N41" s="31">
        <f t="shared" ref="N41" si="194">N21/J21-1</f>
        <v>-0.14465408805031443</v>
      </c>
      <c r="O41" s="31">
        <f t="shared" ref="O41" si="195">O21/K21-1</f>
        <v>-2.5477707006369421E-2</v>
      </c>
      <c r="P41" s="31">
        <f t="shared" ref="P41" si="196">P21/L21-1</f>
        <v>1.9543973941368087E-2</v>
      </c>
      <c r="Q41" s="31">
        <f t="shared" ref="Q41" si="197">Q21/M21-1</f>
        <v>0.15658362989323837</v>
      </c>
      <c r="R41" s="31">
        <f>R21/N21-1</f>
        <v>0.15808823529411775</v>
      </c>
      <c r="S41" s="31">
        <f t="shared" ref="S41:T41" si="198">S21/O21-1</f>
        <v>1.9607843137254832E-2</v>
      </c>
      <c r="T41" s="31">
        <f t="shared" si="198"/>
        <v>-5.1118210862619806E-2</v>
      </c>
      <c r="U41" s="31">
        <f t="shared" ref="U41" si="199">U21/Q21-1</f>
        <v>-0.10461538461538467</v>
      </c>
      <c r="V41" s="31">
        <f t="shared" ref="V41" si="200">V21/R21-1</f>
        <v>-0.10793650793650789</v>
      </c>
      <c r="W41" s="31">
        <f t="shared" ref="W41" si="201">W21/S21-1</f>
        <v>-0.13141025641025639</v>
      </c>
      <c r="X41" s="31">
        <f t="shared" ref="X41" si="202">X21/T21-1</f>
        <v>-2.0202020202020221E-2</v>
      </c>
      <c r="Y41" s="31">
        <f t="shared" ref="Y41" si="203">Y21/U21-1</f>
        <v>2.405498281786933E-2</v>
      </c>
      <c r="Z41" s="31">
        <f t="shared" ref="Z41" si="204">Z21/V21-1</f>
        <v>0.35587188612099641</v>
      </c>
      <c r="AA41" s="31">
        <f t="shared" ref="AA41" si="205">AA21/W21-1</f>
        <v>0.40959409594095941</v>
      </c>
      <c r="AB41" s="31">
        <f t="shared" ref="AB41" si="206">AB21/X21-1</f>
        <v>0.2852233676975946</v>
      </c>
      <c r="AD41" s="59" t="s">
        <v>186</v>
      </c>
      <c r="AE41" s="31">
        <f t="shared" ref="AE41" si="207">AE21/AD21-1</f>
        <v>0.11764705882352944</v>
      </c>
      <c r="AF41" s="31">
        <f t="shared" ref="AF41" si="208">AF21/AE21-1</f>
        <v>-0.1228070175438597</v>
      </c>
      <c r="AG41" s="31">
        <f t="shared" ref="AG41" si="209">AG21/AF21-1</f>
        <v>-3.3333333333333326E-2</v>
      </c>
      <c r="AH41" s="31">
        <f t="shared" ref="AH41" si="210">AH21/AG21-1</f>
        <v>-0.15402298850574714</v>
      </c>
      <c r="AI41" s="31">
        <f t="shared" ref="AI41" si="211">AI21/AH21-1</f>
        <v>-8.1521739130434812E-2</v>
      </c>
      <c r="AJ41" s="31">
        <f>AJ21/AI21-1</f>
        <v>-0.16863905325443784</v>
      </c>
      <c r="AK41" s="31">
        <f>AK21/AJ21-1</f>
        <v>0.15658362989323837</v>
      </c>
    </row>
    <row r="42" spans="1:37" s="78" customFormat="1" ht="12.75" customHeight="1">
      <c r="A42" s="82" t="s">
        <v>211</v>
      </c>
      <c r="B42" s="90" t="s">
        <v>186</v>
      </c>
      <c r="C42" s="91" t="s">
        <v>186</v>
      </c>
      <c r="D42" s="91" t="s">
        <v>186</v>
      </c>
      <c r="E42" s="91" t="s">
        <v>186</v>
      </c>
      <c r="F42" s="78">
        <f t="shared" ref="F42" si="212">F21-B21</f>
        <v>-62</v>
      </c>
      <c r="G42" s="78">
        <f t="shared" ref="G42" si="213">G21-C21</f>
        <v>3</v>
      </c>
      <c r="H42" s="78">
        <f t="shared" ref="H42" si="214">H21-D21</f>
        <v>94</v>
      </c>
      <c r="I42" s="78">
        <f t="shared" ref="I42:L42" si="215">I21-E21</f>
        <v>-30</v>
      </c>
      <c r="J42" s="78">
        <f t="shared" si="215"/>
        <v>-41</v>
      </c>
      <c r="K42" s="78">
        <f t="shared" si="215"/>
        <v>-49</v>
      </c>
      <c r="L42" s="78">
        <f t="shared" si="215"/>
        <v>-38</v>
      </c>
      <c r="M42" s="78">
        <f>M21-I21</f>
        <v>-57</v>
      </c>
      <c r="N42" s="78">
        <f t="shared" ref="N42" si="216">N21-J21</f>
        <v>-46</v>
      </c>
      <c r="O42" s="78">
        <f t="shared" ref="O42" si="217">O21-K21</f>
        <v>-8</v>
      </c>
      <c r="P42" s="78">
        <f t="shared" ref="P42" si="218">P21-L21</f>
        <v>6</v>
      </c>
      <c r="Q42" s="78">
        <f t="shared" ref="Q42:R42" si="219">Q21-M21</f>
        <v>44</v>
      </c>
      <c r="R42" s="78">
        <f t="shared" si="219"/>
        <v>43</v>
      </c>
      <c r="S42" s="78">
        <f>S21-O21</f>
        <v>6</v>
      </c>
      <c r="T42" s="78">
        <f>T21-P21</f>
        <v>-16</v>
      </c>
      <c r="U42" s="78">
        <f t="shared" ref="U42" si="220">U21-Q21</f>
        <v>-34</v>
      </c>
      <c r="V42" s="78">
        <f t="shared" ref="V42" si="221">V21-R21</f>
        <v>-34</v>
      </c>
      <c r="W42" s="78">
        <f t="shared" ref="W42" si="222">W21-S21</f>
        <v>-41</v>
      </c>
      <c r="X42" s="78">
        <f t="shared" ref="X42" si="223">X21-T21</f>
        <v>-6</v>
      </c>
      <c r="Y42" s="78">
        <f t="shared" ref="Y42" si="224">Y21-U21</f>
        <v>7</v>
      </c>
      <c r="Z42" s="78">
        <f t="shared" ref="Z42" si="225">Z21-V21</f>
        <v>100</v>
      </c>
      <c r="AA42" s="78">
        <f t="shared" ref="AA42" si="226">AA21-W21</f>
        <v>111</v>
      </c>
      <c r="AB42" s="78">
        <f t="shared" ref="AB42" si="227">AB21-X21</f>
        <v>83</v>
      </c>
      <c r="AD42" s="59" t="s">
        <v>186</v>
      </c>
      <c r="AE42" s="78">
        <f t="shared" ref="AE42" si="228">AE21-AD21</f>
        <v>54</v>
      </c>
      <c r="AF42" s="78">
        <f t="shared" ref="AF42" si="229">AF21-AE21</f>
        <v>-63</v>
      </c>
      <c r="AG42" s="78">
        <f t="shared" ref="AG42" si="230">AG21-AF21</f>
        <v>-15</v>
      </c>
      <c r="AH42" s="78">
        <f t="shared" ref="AH42" si="231">AH21-AG21</f>
        <v>-67</v>
      </c>
      <c r="AI42" s="78">
        <f t="shared" ref="AI42:AJ42" si="232">AI21-AH21</f>
        <v>-30</v>
      </c>
      <c r="AJ42" s="78">
        <f t="shared" si="232"/>
        <v>-57</v>
      </c>
      <c r="AK42" s="78">
        <f>AK21-AJ21</f>
        <v>44</v>
      </c>
    </row>
    <row r="43" spans="1:37" ht="12.75" customHeight="1">
      <c r="A43" s="3" t="s">
        <v>212</v>
      </c>
      <c r="B43" s="90" t="s">
        <v>186</v>
      </c>
      <c r="C43" s="24">
        <f t="shared" ref="C43" si="233">C21/B21-1</f>
        <v>-0.14489311163895491</v>
      </c>
      <c r="D43" s="24">
        <f t="shared" ref="D43" si="234">D21/C21-1</f>
        <v>-0.30277777777777781</v>
      </c>
      <c r="E43" s="24">
        <f t="shared" ref="E43" si="235">E21/D21-1</f>
        <v>0.46613545816733071</v>
      </c>
      <c r="F43" s="24">
        <f t="shared" ref="F43" si="236">F21/E21-1</f>
        <v>-2.4456521739130488E-2</v>
      </c>
      <c r="G43" s="24">
        <f t="shared" ref="G43" si="237">G21/F21-1</f>
        <v>1.1142061281337101E-2</v>
      </c>
      <c r="H43" s="24">
        <f t="shared" ref="H43" si="238">H21/G21-1</f>
        <v>-4.9586776859504078E-2</v>
      </c>
      <c r="I43" s="24">
        <f t="shared" ref="I43" si="239">I21/H21-1</f>
        <v>-2.0289855072463725E-2</v>
      </c>
      <c r="J43" s="24">
        <f t="shared" ref="J43" si="240">J21/I21-1</f>
        <v>-5.9171597633136064E-2</v>
      </c>
      <c r="K43" s="24">
        <f t="shared" ref="K43" si="241">K21/J21-1</f>
        <v>-1.2578616352201255E-2</v>
      </c>
      <c r="L43" s="24">
        <f t="shared" ref="L43" si="242">L21/K21-1</f>
        <v>-2.2292993630573243E-2</v>
      </c>
      <c r="M43" s="24">
        <f t="shared" ref="M43" si="243">M21/L21-1</f>
        <v>-8.4690553745928376E-2</v>
      </c>
      <c r="N43" s="24">
        <f t="shared" ref="N43" si="244">N21/M21-1</f>
        <v>-3.2028469750889688E-2</v>
      </c>
      <c r="O43" s="24">
        <f t="shared" ref="O43" si="245">O21/N21-1</f>
        <v>0.125</v>
      </c>
      <c r="P43" s="24">
        <f t="shared" ref="P43" si="246">P21/O21-1</f>
        <v>2.2875816993463971E-2</v>
      </c>
      <c r="Q43" s="24">
        <f t="shared" ref="Q43" si="247">Q21/P21-1</f>
        <v>3.833865814696491E-2</v>
      </c>
      <c r="R43" s="24">
        <f>R21/Q21-1</f>
        <v>-3.0769230769230771E-2</v>
      </c>
      <c r="S43" s="24">
        <f t="shared" ref="S43:T43" si="248">S21/R21-1</f>
        <v>-9.52380952380949E-3</v>
      </c>
      <c r="T43" s="24">
        <f t="shared" si="248"/>
        <v>-4.8076923076923128E-2</v>
      </c>
      <c r="U43" s="24">
        <f t="shared" ref="U43" si="249">U21/T21-1</f>
        <v>-2.0202020202020221E-2</v>
      </c>
      <c r="V43" s="24">
        <f t="shared" ref="V43" si="250">V21/U21-1</f>
        <v>-3.4364261168384869E-2</v>
      </c>
      <c r="W43" s="24">
        <f t="shared" ref="W43" si="251">W21/V21-1</f>
        <v>-3.5587188612099641E-2</v>
      </c>
      <c r="X43" s="24">
        <f t="shared" ref="X43" si="252">X21/W21-1</f>
        <v>7.3800738007380184E-2</v>
      </c>
      <c r="Y43" s="24">
        <f t="shared" ref="Y43" si="253">Y21/X21-1</f>
        <v>2.405498281786933E-2</v>
      </c>
      <c r="Z43" s="24">
        <f t="shared" ref="Z43" si="254">Z21/Y21-1</f>
        <v>0.27852348993288589</v>
      </c>
      <c r="AA43" s="24">
        <f t="shared" ref="AA43" si="255">AA21/Z21-1</f>
        <v>2.624671916010568E-3</v>
      </c>
      <c r="AB43" s="24">
        <f t="shared" ref="AB43" si="256">AB21/AA21-1</f>
        <v>-2.0942408376963373E-2</v>
      </c>
      <c r="AD43" s="59" t="s">
        <v>186</v>
      </c>
      <c r="AE43" s="59" t="s">
        <v>186</v>
      </c>
      <c r="AF43" s="59" t="s">
        <v>186</v>
      </c>
      <c r="AG43" s="59" t="s">
        <v>186</v>
      </c>
      <c r="AH43" s="59" t="s">
        <v>186</v>
      </c>
      <c r="AI43" s="59" t="s">
        <v>186</v>
      </c>
      <c r="AJ43" s="59" t="s">
        <v>186</v>
      </c>
      <c r="AK43" s="59" t="s">
        <v>186</v>
      </c>
    </row>
    <row r="44" spans="1:37" s="77" customFormat="1" ht="12.75" customHeight="1">
      <c r="A44" s="81" t="s">
        <v>212</v>
      </c>
      <c r="B44" s="90" t="s">
        <v>186</v>
      </c>
      <c r="C44" s="75">
        <f t="shared" ref="C44" si="257">C21-B21</f>
        <v>-61</v>
      </c>
      <c r="D44" s="75">
        <f t="shared" ref="D44" si="258">D21-C21</f>
        <v>-109</v>
      </c>
      <c r="E44" s="75">
        <f t="shared" ref="E44" si="259">E21-D21</f>
        <v>117</v>
      </c>
      <c r="F44" s="75">
        <f t="shared" ref="F44" si="260">F21-E21</f>
        <v>-9</v>
      </c>
      <c r="G44" s="75">
        <f t="shared" ref="G44" si="261">G21-F21</f>
        <v>4</v>
      </c>
      <c r="H44" s="75">
        <f t="shared" ref="H44" si="262">H21-G21</f>
        <v>-18</v>
      </c>
      <c r="I44" s="75">
        <f t="shared" ref="I44" si="263">I21-H21</f>
        <v>-7</v>
      </c>
      <c r="J44" s="75">
        <f t="shared" ref="J44" si="264">J21-I21</f>
        <v>-20</v>
      </c>
      <c r="K44" s="75">
        <f t="shared" ref="K44" si="265">K21-J21</f>
        <v>-4</v>
      </c>
      <c r="L44" s="75">
        <f t="shared" ref="L44" si="266">L21-K21</f>
        <v>-7</v>
      </c>
      <c r="M44" s="75">
        <f t="shared" ref="M44" si="267">M21-L21</f>
        <v>-26</v>
      </c>
      <c r="N44" s="75">
        <f t="shared" ref="N44" si="268">N21-M21</f>
        <v>-9</v>
      </c>
      <c r="O44" s="75">
        <f t="shared" ref="O44" si="269">O21-N21</f>
        <v>34</v>
      </c>
      <c r="P44" s="75">
        <f t="shared" ref="P44:R44" si="270">P21-O21</f>
        <v>7</v>
      </c>
      <c r="Q44" s="75">
        <f t="shared" si="270"/>
        <v>12</v>
      </c>
      <c r="R44" s="75">
        <f t="shared" si="270"/>
        <v>-10</v>
      </c>
      <c r="S44" s="75">
        <f>S21-R21</f>
        <v>-3</v>
      </c>
      <c r="T44" s="75">
        <f>T21-S21</f>
        <v>-15</v>
      </c>
      <c r="U44" s="75">
        <f t="shared" ref="U44" si="271">U21-T21</f>
        <v>-6</v>
      </c>
      <c r="V44" s="75">
        <f t="shared" ref="V44" si="272">V21-U21</f>
        <v>-10</v>
      </c>
      <c r="W44" s="75">
        <f t="shared" ref="W44" si="273">W21-V21</f>
        <v>-10</v>
      </c>
      <c r="X44" s="75">
        <f t="shared" ref="X44" si="274">X21-W21</f>
        <v>20</v>
      </c>
      <c r="Y44" s="75">
        <f t="shared" ref="Y44" si="275">Y21-X21</f>
        <v>7</v>
      </c>
      <c r="Z44" s="75">
        <f t="shared" ref="Z44" si="276">Z21-Y21</f>
        <v>83</v>
      </c>
      <c r="AA44" s="75">
        <f t="shared" ref="AA44" si="277">AA21-Z21</f>
        <v>1</v>
      </c>
      <c r="AB44" s="75">
        <f t="shared" ref="AB44" si="278">AB21-AA21</f>
        <v>-8</v>
      </c>
      <c r="AD44" s="59" t="s">
        <v>186</v>
      </c>
      <c r="AE44" s="59" t="s">
        <v>186</v>
      </c>
      <c r="AF44" s="59" t="s">
        <v>186</v>
      </c>
      <c r="AG44" s="59" t="s">
        <v>186</v>
      </c>
      <c r="AH44" s="59" t="s">
        <v>186</v>
      </c>
      <c r="AI44" s="59" t="s">
        <v>186</v>
      </c>
      <c r="AJ44" s="59" t="s">
        <v>186</v>
      </c>
      <c r="AK44" s="59" t="s">
        <v>186</v>
      </c>
    </row>
    <row r="46" spans="1:37" ht="12.75" customHeight="1">
      <c r="A46" s="3" t="s">
        <v>260</v>
      </c>
      <c r="B46" s="24">
        <f t="shared" ref="B46:S46" si="279">B12/B3</f>
        <v>0.77057220708446872</v>
      </c>
      <c r="C46" s="24">
        <f t="shared" si="279"/>
        <v>0.80022197558268593</v>
      </c>
      <c r="D46" s="24">
        <f t="shared" si="279"/>
        <v>0.85304449648711944</v>
      </c>
      <c r="E46" s="24">
        <f t="shared" si="279"/>
        <v>0.80193756727664156</v>
      </c>
      <c r="F46" s="24">
        <f t="shared" si="279"/>
        <v>0.80698924731182797</v>
      </c>
      <c r="G46" s="24">
        <f t="shared" si="279"/>
        <v>0.80793650793650795</v>
      </c>
      <c r="H46" s="24">
        <f t="shared" si="279"/>
        <v>0.81736368448914765</v>
      </c>
      <c r="I46" s="24">
        <f t="shared" si="279"/>
        <v>0.82368283776734486</v>
      </c>
      <c r="J46" s="24">
        <f t="shared" si="279"/>
        <v>0.83280757097791802</v>
      </c>
      <c r="K46" s="24">
        <f t="shared" si="279"/>
        <v>0.83491062039957942</v>
      </c>
      <c r="L46" s="24">
        <f t="shared" si="279"/>
        <v>0.83859095688748686</v>
      </c>
      <c r="M46" s="24">
        <f t="shared" si="279"/>
        <v>0.85241596638655459</v>
      </c>
      <c r="N46" s="24">
        <f t="shared" si="279"/>
        <v>0.8571428571428571</v>
      </c>
      <c r="O46" s="24">
        <f t="shared" si="279"/>
        <v>0.84323770491803274</v>
      </c>
      <c r="P46" s="24">
        <f t="shared" si="279"/>
        <v>0.84095528455284552</v>
      </c>
      <c r="Q46" s="24">
        <f t="shared" si="279"/>
        <v>0.83717434869739482</v>
      </c>
      <c r="R46" s="24">
        <f t="shared" si="279"/>
        <v>0.8418674698795181</v>
      </c>
      <c r="S46" s="24">
        <f t="shared" si="279"/>
        <v>0.84399999999999997</v>
      </c>
      <c r="T46" s="24">
        <f>T12/T3</f>
        <v>0.85112781954887218</v>
      </c>
      <c r="U46" s="24">
        <f t="shared" ref="U46:Y46" si="280">U12/U3</f>
        <v>0.85586924219910843</v>
      </c>
      <c r="V46" s="24">
        <f t="shared" si="280"/>
        <v>0.86061507936507942</v>
      </c>
      <c r="W46" s="24">
        <f t="shared" si="280"/>
        <v>0.86604053386060309</v>
      </c>
      <c r="X46" s="24">
        <f t="shared" si="280"/>
        <v>0.85860058309037901</v>
      </c>
      <c r="Y46" s="24">
        <f t="shared" si="280"/>
        <v>0.85980861244019136</v>
      </c>
      <c r="Z46" s="24">
        <f t="shared" ref="Z46:AA46" si="281">Z12/Z3</f>
        <v>0.8275229357798165</v>
      </c>
      <c r="AA46" s="24">
        <f t="shared" si="281"/>
        <v>0.82863636363636362</v>
      </c>
      <c r="AB46" s="24">
        <f t="shared" ref="AB46" si="282">AB12/AB3</f>
        <v>0.91175012394645516</v>
      </c>
      <c r="AD46" s="24">
        <f t="shared" ref="AD46:AK46" si="283">AD12/AD3</f>
        <v>0.70367979341510656</v>
      </c>
      <c r="AE46" s="24">
        <f t="shared" si="283"/>
        <v>0.693075117370892</v>
      </c>
      <c r="AF46" s="24">
        <f t="shared" si="283"/>
        <v>0.74271012006861059</v>
      </c>
      <c r="AG46" s="24">
        <f t="shared" si="283"/>
        <v>0.76294277929155319</v>
      </c>
      <c r="AH46" s="24">
        <f t="shared" si="283"/>
        <v>0.80193756727664156</v>
      </c>
      <c r="AI46" s="24">
        <f t="shared" si="283"/>
        <v>0.82368283776734486</v>
      </c>
      <c r="AJ46" s="24">
        <f t="shared" si="283"/>
        <v>0.85241596638655459</v>
      </c>
      <c r="AK46" s="24">
        <f t="shared" si="283"/>
        <v>0.83717434869739482</v>
      </c>
    </row>
    <row r="47" spans="1:37" ht="12.75" customHeight="1">
      <c r="N47" s="70"/>
    </row>
    <row r="49" spans="14:14" ht="12.75" customHeight="1">
      <c r="N49" s="69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K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J1" r:id="rId9" display="https://api.mziq.com/mzfilemanager/v2/d/12a56b3a-7b37-4dba-b80a-f3358bf66b71/631b88c4-9ae6-429c-98d6-230db8273d60?origin=1" xr:uid="{D9538A1F-7DBB-FA44-9BE7-595A80C2AFB9}"/>
    <hyperlink ref="AI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H1" r:id="rId13" display="https://api.mziq.com/mzfilemanager/v2/d/12a56b3a-7b37-4dba-b80a-f3358bf66b71/38d6b5b1-73e3-4d7d-aca3-84a2d5bbf813?origin=1" xr:uid="{6F460F9A-C5E5-A44E-8E60-30FD06C106C2}"/>
    <hyperlink ref="AG1" r:id="rId14" display="https://api.mziq.com/mzfilemanager/v2/d/12a56b3a-7b37-4dba-b80a-f3358bf66b71/ed568644-a6d5-4205-a73d-0b3221ad8c90?origin=1" xr:uid="{753E2A88-CB41-C94C-B023-B46ED8394A35}"/>
    <hyperlink ref="AF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E1" r:id="rId25" display="https://api.mziq.com/mzfilemanager/v2/d/12a56b3a-7b37-4dba-b80a-f3358bf66b71/93a33ec4-dc07-47b3-91c2-d84b2e56d699?origin=1" xr:uid="{CE32064C-B077-40F4-9C44-3F45FE0A2ECE}"/>
    <hyperlink ref="AD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  <hyperlink ref="Y1" r:id="rId32" xr:uid="{BFADB3EB-4CC0-410D-8F60-5F3AFC3EA622}"/>
    <hyperlink ref="Z1" r:id="rId33" xr:uid="{750786D9-EF4C-4F42-A3FB-8634FC8A0791}"/>
    <hyperlink ref="AA1" r:id="rId34" xr:uid="{FA805D35-CB2E-4626-A903-4FA210963CA9}"/>
    <hyperlink ref="AB1" r:id="rId35" xr:uid="{0837B37B-2C70-462A-807A-60070BFD5E75}"/>
  </hyperlinks>
  <pageMargins left="0.7" right="0.7" top="0.75" bottom="0.75" header="0.3" footer="0.3"/>
  <pageSetup paperSize="256" orientation="portrait" horizontalDpi="203" verticalDpi="203" r:id="rId36"/>
  <ignoredErrors>
    <ignoredError sqref="Z14:AB14" formula="1"/>
  </ignoredErrors>
  <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2024-12-12T11:27:18Z</dcterms:modified>
</cp:coreProperties>
</file>