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5192763-6783-4D6F-9DED-7B6C4774925D}" xr6:coauthVersionLast="36" xr6:coauthVersionMax="36" xr10:uidLastSave="{00000000-0000-0000-0000-000000000000}"/>
  <bookViews>
    <workbookView xWindow="0" yWindow="0" windowWidth="28800" windowHeight="12225" activeTab="1" xr2:uid="{2FA1A45F-62BC-48F6-B990-34E28132E0A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3" i="2" l="1"/>
  <c r="S98" i="2"/>
  <c r="S95" i="2"/>
  <c r="K86" i="2"/>
  <c r="K103" i="2" s="1"/>
  <c r="K88" i="2"/>
  <c r="K93" i="2"/>
  <c r="K100" i="2"/>
  <c r="K102" i="2"/>
  <c r="L82" i="2"/>
  <c r="L83" i="2"/>
  <c r="L84" i="2"/>
  <c r="L85" i="2"/>
  <c r="L88" i="2"/>
  <c r="L89" i="2"/>
  <c r="L90" i="2"/>
  <c r="L91" i="2"/>
  <c r="L92" i="2"/>
  <c r="L95" i="2"/>
  <c r="L96" i="2"/>
  <c r="L97" i="2"/>
  <c r="L98" i="2"/>
  <c r="L99" i="2"/>
  <c r="L100" i="2" l="1"/>
  <c r="L93" i="2" l="1"/>
  <c r="L86" i="2"/>
  <c r="U102" i="2"/>
  <c r="T102" i="2"/>
  <c r="S102" i="2"/>
  <c r="R102" i="2"/>
  <c r="R103" i="2" s="1"/>
  <c r="Q102" i="2"/>
  <c r="Q103" i="2" s="1"/>
  <c r="P102" i="2"/>
  <c r="P103" i="2" s="1"/>
  <c r="U100" i="2"/>
  <c r="T100" i="2"/>
  <c r="S100" i="2"/>
  <c r="R100" i="2"/>
  <c r="Q100" i="2"/>
  <c r="P100" i="2"/>
  <c r="U93" i="2"/>
  <c r="T93" i="2"/>
  <c r="S93" i="2"/>
  <c r="R93" i="2"/>
  <c r="Q93" i="2"/>
  <c r="P93" i="2"/>
  <c r="U86" i="2"/>
  <c r="T86" i="2"/>
  <c r="S86" i="2"/>
  <c r="R86" i="2"/>
  <c r="Q86" i="2"/>
  <c r="P86" i="2"/>
  <c r="M102" i="2"/>
  <c r="M100" i="2"/>
  <c r="M93" i="2"/>
  <c r="M86" i="2"/>
  <c r="T103" i="2" l="1"/>
  <c r="S103" i="2"/>
  <c r="L102" i="2"/>
  <c r="L103" i="2" s="1"/>
  <c r="U103" i="2"/>
  <c r="C7" i="1"/>
  <c r="M70" i="2"/>
  <c r="M66" i="2"/>
  <c r="C10" i="1" s="1"/>
  <c r="M65" i="2"/>
  <c r="C9" i="1" s="1"/>
  <c r="M50" i="2"/>
  <c r="M54" i="2" s="1"/>
  <c r="M57" i="2" s="1"/>
  <c r="M37" i="2"/>
  <c r="M42" i="2" s="1"/>
  <c r="M59" i="2" s="1"/>
  <c r="M60" i="2" s="1"/>
  <c r="M32" i="2"/>
  <c r="M75" i="2" l="1"/>
  <c r="C33" i="1"/>
  <c r="M67" i="2"/>
  <c r="M71" i="2" s="1"/>
  <c r="L69" i="2"/>
  <c r="L56" i="2"/>
  <c r="L53" i="2"/>
  <c r="L52" i="2"/>
  <c r="L49" i="2"/>
  <c r="L48" i="2"/>
  <c r="L46" i="2"/>
  <c r="L45" i="2"/>
  <c r="L51" i="2"/>
  <c r="L47" i="2"/>
  <c r="L44" i="2"/>
  <c r="L41" i="2"/>
  <c r="L39" i="2"/>
  <c r="L36" i="2"/>
  <c r="L35" i="2"/>
  <c r="L40" i="2"/>
  <c r="L65" i="2" s="1"/>
  <c r="L38" i="2"/>
  <c r="L34" i="2"/>
  <c r="L33" i="2"/>
  <c r="M22" i="2"/>
  <c r="M14" i="2"/>
  <c r="M5" i="2"/>
  <c r="M25" i="2" s="1"/>
  <c r="L66" i="2" l="1"/>
  <c r="L67" i="2" s="1"/>
  <c r="M11" i="2"/>
  <c r="M26" i="2" s="1"/>
  <c r="M63" i="2"/>
  <c r="M16" i="2" l="1"/>
  <c r="M18" i="2"/>
  <c r="M28" i="2"/>
  <c r="J20" i="2"/>
  <c r="L20" i="2"/>
  <c r="L70" i="2" s="1"/>
  <c r="J5" i="2"/>
  <c r="J15" i="2"/>
  <c r="J13" i="2"/>
  <c r="J12" i="2"/>
  <c r="J14" i="2" s="1"/>
  <c r="J10" i="2"/>
  <c r="J9" i="2"/>
  <c r="J8" i="2"/>
  <c r="J7" i="2"/>
  <c r="J6" i="2"/>
  <c r="J4" i="2"/>
  <c r="J3" i="2"/>
  <c r="K23" i="2" s="1"/>
  <c r="I14" i="2"/>
  <c r="K22" i="2"/>
  <c r="I5" i="2"/>
  <c r="I11" i="2" s="1"/>
  <c r="I26" i="2" s="1"/>
  <c r="L17" i="2"/>
  <c r="L15" i="2"/>
  <c r="L13" i="2"/>
  <c r="L12" i="2"/>
  <c r="L14" i="2" s="1"/>
  <c r="L10" i="2"/>
  <c r="L9" i="2"/>
  <c r="L8" i="2"/>
  <c r="L7" i="2"/>
  <c r="L6" i="2"/>
  <c r="L4" i="2"/>
  <c r="L3" i="2"/>
  <c r="L22" i="2" s="1"/>
  <c r="K14" i="2"/>
  <c r="K5" i="2"/>
  <c r="K25" i="2" s="1"/>
  <c r="J23" i="2" l="1"/>
  <c r="I16" i="2"/>
  <c r="I28" i="2" s="1"/>
  <c r="I25" i="2"/>
  <c r="I18" i="2"/>
  <c r="I27" i="2" s="1"/>
  <c r="J11" i="2"/>
  <c r="M77" i="2"/>
  <c r="M23" i="2"/>
  <c r="M73" i="2"/>
  <c r="L77" i="2"/>
  <c r="L23" i="2"/>
  <c r="J25" i="2"/>
  <c r="K11" i="2"/>
  <c r="L73" i="2"/>
  <c r="L71" i="2"/>
  <c r="L5" i="2"/>
  <c r="M27" i="2"/>
  <c r="M19" i="2"/>
  <c r="T77" i="2"/>
  <c r="S77" i="2"/>
  <c r="R77" i="2"/>
  <c r="Q77" i="2"/>
  <c r="P77" i="2"/>
  <c r="U77" i="2"/>
  <c r="T70" i="2"/>
  <c r="T73" i="2" s="1"/>
  <c r="S70" i="2"/>
  <c r="S73" i="2" s="1"/>
  <c r="R70" i="2"/>
  <c r="R73" i="2" s="1"/>
  <c r="Q70" i="2"/>
  <c r="Q73" i="2" s="1"/>
  <c r="P70" i="2"/>
  <c r="P73" i="2" s="1"/>
  <c r="U70" i="2"/>
  <c r="U73" i="2" s="1"/>
  <c r="U50" i="2"/>
  <c r="L50" i="2" s="1"/>
  <c r="L54" i="2" s="1"/>
  <c r="L57" i="2" s="1"/>
  <c r="T50" i="2"/>
  <c r="S50" i="2"/>
  <c r="R50" i="2"/>
  <c r="Q50" i="2"/>
  <c r="Q54" i="2" s="1"/>
  <c r="P50" i="2"/>
  <c r="P54" i="2" s="1"/>
  <c r="P57" i="2" s="1"/>
  <c r="Q66" i="2"/>
  <c r="P66" i="2"/>
  <c r="Q65" i="2"/>
  <c r="R62" i="2"/>
  <c r="Q62" i="2"/>
  <c r="P41" i="2"/>
  <c r="P65" i="2" s="1"/>
  <c r="P67" i="2" s="1"/>
  <c r="P32" i="2"/>
  <c r="P37" i="2" s="1"/>
  <c r="P42" i="2" s="1"/>
  <c r="Q32" i="2"/>
  <c r="Q37" i="2" s="1"/>
  <c r="Q42" i="2" s="1"/>
  <c r="P14" i="2"/>
  <c r="Q14" i="2"/>
  <c r="R22" i="2"/>
  <c r="Q22" i="2"/>
  <c r="Q5" i="2"/>
  <c r="Q11" i="2" s="1"/>
  <c r="Q26" i="2" s="1"/>
  <c r="P5" i="2"/>
  <c r="P25" i="2" s="1"/>
  <c r="Q67" i="2" l="1"/>
  <c r="P59" i="2"/>
  <c r="P60" i="2" s="1"/>
  <c r="P75" i="2" s="1"/>
  <c r="L11" i="2"/>
  <c r="L25" i="2"/>
  <c r="P71" i="2"/>
  <c r="Q71" i="2"/>
  <c r="J16" i="2"/>
  <c r="J26" i="2"/>
  <c r="K16" i="2"/>
  <c r="K26" i="2"/>
  <c r="Q57" i="2"/>
  <c r="Q59" i="2"/>
  <c r="Q60" i="2" s="1"/>
  <c r="Q75" i="2" s="1"/>
  <c r="P11" i="2"/>
  <c r="P26" i="2" s="1"/>
  <c r="Q25" i="2"/>
  <c r="Q16" i="2"/>
  <c r="Q18" i="2" s="1"/>
  <c r="Q19" i="2" s="1"/>
  <c r="Q74" i="2" s="1"/>
  <c r="S66" i="2"/>
  <c r="R66" i="2"/>
  <c r="S65" i="2"/>
  <c r="R65" i="2"/>
  <c r="R67" i="2" s="1"/>
  <c r="R71" i="2" s="1"/>
  <c r="T62" i="2"/>
  <c r="S62" i="2"/>
  <c r="R54" i="2"/>
  <c r="R57" i="2" s="1"/>
  <c r="R32" i="2"/>
  <c r="R37" i="2" s="1"/>
  <c r="R42" i="2" s="1"/>
  <c r="S54" i="2"/>
  <c r="S57" i="2" s="1"/>
  <c r="S32" i="2"/>
  <c r="S37" i="2" s="1"/>
  <c r="S42" i="2" s="1"/>
  <c r="J17" i="2" l="1"/>
  <c r="J28" i="2" s="1"/>
  <c r="L26" i="2"/>
  <c r="L16" i="2"/>
  <c r="K18" i="2"/>
  <c r="K28" i="2"/>
  <c r="R59" i="2"/>
  <c r="R60" i="2" s="1"/>
  <c r="R75" i="2" s="1"/>
  <c r="S67" i="2"/>
  <c r="S71" i="2" s="1"/>
  <c r="P16" i="2"/>
  <c r="S59" i="2"/>
  <c r="S60" i="2" s="1"/>
  <c r="S75" i="2" s="1"/>
  <c r="P28" i="2"/>
  <c r="P18" i="2"/>
  <c r="Q28" i="2"/>
  <c r="Q27" i="2"/>
  <c r="R14" i="2"/>
  <c r="S14" i="2"/>
  <c r="T22" i="2"/>
  <c r="S22" i="2"/>
  <c r="R5" i="2"/>
  <c r="R25" i="2" s="1"/>
  <c r="S5" i="2"/>
  <c r="S25" i="2" s="1"/>
  <c r="L18" i="2" l="1"/>
  <c r="L28" i="2"/>
  <c r="L74" i="2"/>
  <c r="K27" i="2"/>
  <c r="K19" i="2"/>
  <c r="J18" i="2"/>
  <c r="R11" i="2"/>
  <c r="R26" i="2" s="1"/>
  <c r="S11" i="2"/>
  <c r="S26" i="2" s="1"/>
  <c r="P27" i="2"/>
  <c r="P19" i="2"/>
  <c r="P74" i="2" s="1"/>
  <c r="R16" i="2"/>
  <c r="T66" i="2"/>
  <c r="T65" i="2"/>
  <c r="U62" i="2"/>
  <c r="C26" i="1" s="1"/>
  <c r="T54" i="2"/>
  <c r="T57" i="2" s="1"/>
  <c r="T32" i="2"/>
  <c r="T37" i="2" s="1"/>
  <c r="T42" i="2" s="1"/>
  <c r="U66" i="2"/>
  <c r="U65" i="2"/>
  <c r="J19" i="2" l="1"/>
  <c r="J27" i="2"/>
  <c r="S16" i="2"/>
  <c r="T67" i="2"/>
  <c r="T71" i="2" s="1"/>
  <c r="M74" i="2"/>
  <c r="L19" i="2"/>
  <c r="L27" i="2"/>
  <c r="T59" i="2"/>
  <c r="T60" i="2" s="1"/>
  <c r="T75" i="2" s="1"/>
  <c r="S28" i="2"/>
  <c r="S18" i="2"/>
  <c r="R28" i="2"/>
  <c r="R18" i="2"/>
  <c r="U67" i="2"/>
  <c r="U71" i="2" s="1"/>
  <c r="C25" i="1"/>
  <c r="U22" i="2"/>
  <c r="T14" i="2"/>
  <c r="T5" i="2"/>
  <c r="T25" i="2" s="1"/>
  <c r="U54" i="2"/>
  <c r="U57" i="2" s="1"/>
  <c r="U32" i="2"/>
  <c r="L32" i="2" s="1"/>
  <c r="L37" i="2" s="1"/>
  <c r="L42" i="2" s="1"/>
  <c r="L59" i="2" s="1"/>
  <c r="L60" i="2" s="1"/>
  <c r="L75" i="2" s="1"/>
  <c r="U14" i="2"/>
  <c r="U5" i="2"/>
  <c r="U25" i="2" s="1"/>
  <c r="C8" i="1"/>
  <c r="C11" i="1"/>
  <c r="U37" i="2" l="1"/>
  <c r="U42" i="2" s="1"/>
  <c r="U59" i="2" s="1"/>
  <c r="U60" i="2" s="1"/>
  <c r="U75" i="2" s="1"/>
  <c r="S27" i="2"/>
  <c r="S19" i="2"/>
  <c r="S74" i="2" s="1"/>
  <c r="R27" i="2"/>
  <c r="R19" i="2"/>
  <c r="R74" i="2" s="1"/>
  <c r="U11" i="2"/>
  <c r="T11" i="2"/>
  <c r="C12" i="1"/>
  <c r="T16" i="2" l="1"/>
  <c r="T26" i="2"/>
  <c r="U26" i="2"/>
  <c r="U16" i="2"/>
  <c r="U28" i="2" l="1"/>
  <c r="U18" i="2"/>
  <c r="C35" i="1" s="1"/>
  <c r="T18" i="2"/>
  <c r="T28" i="2"/>
  <c r="T19" i="2" l="1"/>
  <c r="T74" i="2" s="1"/>
  <c r="T27" i="2"/>
  <c r="U27" i="2"/>
  <c r="U19" i="2"/>
  <c r="C34" i="1" l="1"/>
  <c r="U74" i="2"/>
</calcChain>
</file>

<file path=xl/sharedStrings.xml><?xml version="1.0" encoding="utf-8"?>
<sst xmlns="http://schemas.openxmlformats.org/spreadsheetml/2006/main" count="183" uniqueCount="153">
  <si>
    <t>£HRN</t>
  </si>
  <si>
    <t>Hornby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</si>
  <si>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</si>
  <si>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</si>
  <si>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</si>
  <si>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</si>
  <si>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</si>
  <si>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</si>
  <si>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</si>
  <si>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</si>
  <si>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</si>
  <si>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</si>
  <si>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</si>
  <si>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</si>
  <si>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</si>
  <si>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</si>
  <si>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</si>
  <si>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</si>
  <si>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Link</t>
  </si>
  <si>
    <t>Ratios</t>
  </si>
  <si>
    <t>Margate, UK</t>
  </si>
  <si>
    <t>Kirstie Gould</t>
  </si>
  <si>
    <t>Tim Mulhall</t>
  </si>
  <si>
    <t>Simon Kohler</t>
  </si>
  <si>
    <t>Products &amp; Brands</t>
  </si>
  <si>
    <t>Hornby Trains</t>
  </si>
  <si>
    <t>Scalextric</t>
  </si>
  <si>
    <t>Key Events</t>
  </si>
  <si>
    <t>Corgi</t>
  </si>
  <si>
    <t>FY22</t>
  </si>
  <si>
    <t>FY21</t>
  </si>
  <si>
    <t>FY20</t>
  </si>
  <si>
    <t>FY19</t>
  </si>
  <si>
    <t>FY18</t>
  </si>
  <si>
    <t>Airfix</t>
  </si>
  <si>
    <t>Revenue</t>
  </si>
  <si>
    <t>COGS</t>
  </si>
  <si>
    <t>Gross Profit</t>
  </si>
  <si>
    <t>Distribution</t>
  </si>
  <si>
    <t>Sales &amp; Marketing</t>
  </si>
  <si>
    <t>Administrative</t>
  </si>
  <si>
    <t>Other Operating Income</t>
  </si>
  <si>
    <t>Operating Income</t>
  </si>
  <si>
    <t>Exceptional Items</t>
  </si>
  <si>
    <t>Finance Incomes</t>
  </si>
  <si>
    <t>Finance Costs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</si>
  <si>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</si>
  <si>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</si>
  <si>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</si>
  <si>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</si>
  <si>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</si>
  <si>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</si>
  <si>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</si>
  <si>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</si>
  <si>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</si>
  <si>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</si>
  <si>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Share of Profits</t>
  </si>
  <si>
    <t>Pretax Income</t>
  </si>
  <si>
    <t>Net Finance Expenses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</si>
  <si>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</si>
  <si>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</si>
  <si>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</si>
  <si>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</si>
  <si>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</si>
  <si>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</si>
  <si>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</si>
  <si>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</si>
  <si>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</si>
  <si>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</si>
  <si>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</si>
  <si>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</si>
  <si>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Taxes</t>
  </si>
  <si>
    <t>Net Income</t>
  </si>
  <si>
    <t>EPS</t>
  </si>
  <si>
    <t>Balance Sheet</t>
  </si>
  <si>
    <t>Goodwill+Intangibles</t>
  </si>
  <si>
    <t>PP&amp;E</t>
  </si>
  <si>
    <t>Investments</t>
  </si>
  <si>
    <t>ROU</t>
  </si>
  <si>
    <t>Deferred Taxes</t>
  </si>
  <si>
    <t>Total NCA</t>
  </si>
  <si>
    <t>Inventories</t>
  </si>
  <si>
    <t>Trade &amp; A/R</t>
  </si>
  <si>
    <t>Assets</t>
  </si>
  <si>
    <t>Borrowings</t>
  </si>
  <si>
    <t>Trade &amp; A/P</t>
  </si>
  <si>
    <t>Lease Liabilities</t>
  </si>
  <si>
    <t>TCL</t>
  </si>
  <si>
    <t>Liabilities</t>
  </si>
  <si>
    <t>S/E</t>
  </si>
  <si>
    <t>S/E+L</t>
  </si>
  <si>
    <t>Book Value</t>
  </si>
  <si>
    <t>Book Value per Share</t>
  </si>
  <si>
    <t>Financial Instruments</t>
  </si>
  <si>
    <t>P/B</t>
  </si>
  <si>
    <t>Revenue Y/Y</t>
  </si>
  <si>
    <t>Revenue H/H</t>
  </si>
  <si>
    <t>Gross Margin</t>
  </si>
  <si>
    <t>Operating Margin</t>
  </si>
  <si>
    <t>Net Margin</t>
  </si>
  <si>
    <t>Taxes %</t>
  </si>
  <si>
    <t>-</t>
  </si>
  <si>
    <t>Inv</t>
  </si>
  <si>
    <t>Inventory Y/Y</t>
  </si>
  <si>
    <t>Inventory H/H</t>
  </si>
  <si>
    <t>Share Price</t>
  </si>
  <si>
    <t>Market Cap</t>
  </si>
  <si>
    <t>Inv Y/Y</t>
  </si>
  <si>
    <t>FY17</t>
  </si>
  <si>
    <t>P/E</t>
  </si>
  <si>
    <t>EV/E</t>
  </si>
  <si>
    <t>(Projected)</t>
  </si>
  <si>
    <t>Oxford Diecast</t>
  </si>
  <si>
    <t>Provisions</t>
  </si>
  <si>
    <t>Hornby acquire remaining 51% share capital of Oxford Diecast owner LCD</t>
  </si>
  <si>
    <t>Current Taxes</t>
  </si>
  <si>
    <t>Inventory/Revenue</t>
  </si>
  <si>
    <t>P/S</t>
  </si>
  <si>
    <t>Olly Raeburn</t>
  </si>
  <si>
    <t>Olly Raeburn announced as new CEO taking over from Lyndon Davies in on 23rd Jan 23</t>
  </si>
  <si>
    <t>Olly was CEO of Paperchase in September 2020 after joining as Chief Marketing in 2019</t>
  </si>
  <si>
    <t xml:space="preserve">TT:120 Range launches, brand new scale </t>
  </si>
  <si>
    <t>Tomy Company, Ltd.: Tomy Company, Ltd. is a publicly traded company on the Tokyo Stock Exchange that owns Bachmann, a US-based model train brand.</t>
  </si>
  <si>
    <t>Hornby plc: Hornby plc is a publicly traded company on the London Stock Exchange that owns Hornby, a well-known UK-based model train brand.</t>
  </si>
  <si>
    <t>Hasbro: Hasbro is a publicly traded company that owns a number of model train brands, including Lionel, which is one of the best-known and most respected brands in the model train industry. Hasbro is listed on the NASDAQ stock exchange.</t>
  </si>
  <si>
    <t>OO Gauge</t>
  </si>
  <si>
    <t>TT:120 Gauge</t>
  </si>
  <si>
    <t>2023 range launch, warning to expect delays following years of China covid lockdowns</t>
  </si>
  <si>
    <t>Share price falls on announcement that year-to-march would show "modest loss" and timid on guidance</t>
  </si>
  <si>
    <t>Marketing</t>
  </si>
  <si>
    <t>Dev &amp;</t>
  </si>
  <si>
    <t>Cashflow Statement</t>
  </si>
  <si>
    <t>CFFO</t>
  </si>
  <si>
    <t>CFFI</t>
  </si>
  <si>
    <t>FCF</t>
  </si>
  <si>
    <t>CapEx</t>
  </si>
  <si>
    <t>Classic model kits &amp; starter kits</t>
  </si>
  <si>
    <t>Quick Build Lego style sets</t>
  </si>
  <si>
    <t>Cash used in Operations</t>
  </si>
  <si>
    <t>Interest Paid</t>
  </si>
  <si>
    <t>Tax Received</t>
  </si>
  <si>
    <t>Lease Payment Interest</t>
  </si>
  <si>
    <t>Acquisition of  Subsidiary</t>
  </si>
  <si>
    <t>Sale of PP&amp;E</t>
  </si>
  <si>
    <t>Purchase of PP&amp;E</t>
  </si>
  <si>
    <t>Purchase of Intangibles</t>
  </si>
  <si>
    <t>Interest Received</t>
  </si>
  <si>
    <t>Share Issue Proceeds</t>
  </si>
  <si>
    <t>Repayment of Loan</t>
  </si>
  <si>
    <t xml:space="preserve">Proceeds from ABL </t>
  </si>
  <si>
    <t>Shareholder Loan Proceeds</t>
  </si>
  <si>
    <t>Payment of Lease Liability</t>
  </si>
  <si>
    <t>CFFF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</si>
</sst>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,##0.0000"/>
    <numFmt numFmtId="167" formatCode="0.0\x"/>
    <numFmt numFmtId="168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0" borderId="0" xfId="0" applyNumberFormat="1" applyFont="1" applyBorder="1"/>
    <xf numFmtId="165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14" fontId="6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64" fontId="1" fillId="0" borderId="0" xfId="0" applyNumberFormat="1" applyFont="1"/>
    <xf numFmtId="0" fontId="7" fillId="0" borderId="0" xfId="0" applyFont="1"/>
    <xf numFmtId="166" fontId="1" fillId="0" borderId="0" xfId="0" applyNumberFormat="1" applyFont="1"/>
    <xf numFmtId="9" fontId="2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3" borderId="4" xfId="0" applyFont="1" applyFill="1" applyBorder="1" applyAlignment="1"/>
    <xf numFmtId="0" fontId="2" fillId="3" borderId="6" xfId="0" applyFont="1" applyFill="1" applyBorder="1" applyAlignment="1"/>
    <xf numFmtId="0" fontId="8" fillId="0" borderId="0" xfId="0" applyFont="1"/>
    <xf numFmtId="0" fontId="8" fillId="5" borderId="0" xfId="0" applyFont="1" applyFill="1"/>
    <xf numFmtId="165" fontId="8" fillId="0" borderId="0" xfId="0" applyNumberFormat="1" applyFont="1"/>
    <xf numFmtId="9" fontId="1" fillId="0" borderId="0" xfId="0" applyNumberFormat="1" applyFont="1"/>
    <xf numFmtId="9" fontId="8" fillId="0" borderId="0" xfId="0" applyNumberFormat="1" applyFont="1"/>
    <xf numFmtId="0" fontId="8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4" fontId="6" fillId="5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9" fontId="2" fillId="6" borderId="0" xfId="0" applyNumberFormat="1" applyFont="1" applyFill="1"/>
    <xf numFmtId="0" fontId="8" fillId="6" borderId="0" xfId="0" applyFont="1" applyFill="1"/>
    <xf numFmtId="0" fontId="9" fillId="6" borderId="0" xfId="0" applyFont="1" applyFill="1" applyAlignment="1">
      <alignment horizontal="right"/>
    </xf>
    <xf numFmtId="4" fontId="1" fillId="0" borderId="0" xfId="0" applyNumberFormat="1" applyFont="1"/>
    <xf numFmtId="168" fontId="1" fillId="0" borderId="0" xfId="0" applyNumberFormat="1" applyFont="1"/>
    <xf numFmtId="165" fontId="2" fillId="0" borderId="0" xfId="0" applyNumberFormat="1" applyFont="1" applyAlignment="1">
      <alignment horizontal="right"/>
    </xf>
    <xf numFmtId="17" fontId="2" fillId="3" borderId="4" xfId="0" applyNumberFormat="1" applyFont="1" applyFill="1" applyBorder="1" applyAlignment="1">
      <alignment horizontal="center"/>
    </xf>
    <xf numFmtId="167" fontId="1" fillId="0" borderId="0" xfId="0" applyNumberFormat="1" applyFont="1"/>
    <xf numFmtId="165" fontId="2" fillId="5" borderId="0" xfId="0" applyNumberFormat="1" applyFont="1" applyFill="1"/>
    <xf numFmtId="165" fontId="1" fillId="5" borderId="0" xfId="0" applyNumberFormat="1" applyFont="1" applyFill="1"/>
    <xf numFmtId="9" fontId="1" fillId="5" borderId="0" xfId="0" applyNumberFormat="1" applyFont="1" applyFill="1"/>
    <xf numFmtId="9" fontId="2" fillId="5" borderId="0" xfId="0" applyNumberFormat="1" applyFont="1" applyFill="1"/>
    <xf numFmtId="166" fontId="1" fillId="5" borderId="0" xfId="0" applyNumberFormat="1" applyFont="1" applyFill="1"/>
    <xf numFmtId="166" fontId="1" fillId="0" borderId="0" xfId="0" applyNumberFormat="1" applyFont="1" applyFill="1"/>
    <xf numFmtId="0" fontId="1" fillId="0" borderId="0" xfId="0" applyFont="1" applyFill="1"/>
    <xf numFmtId="0" fontId="8" fillId="0" borderId="0" xfId="0" applyFont="1" applyFill="1"/>
    <xf numFmtId="0" fontId="4" fillId="0" borderId="0" xfId="1" applyFont="1" applyFill="1" applyAlignment="1">
      <alignment horizontal="right"/>
    </xf>
    <xf numFmtId="14" fontId="6" fillId="0" borderId="0" xfId="0" applyNumberFormat="1" applyFont="1" applyFill="1" applyAlignment="1">
      <alignment horizontal="right"/>
    </xf>
    <xf numFmtId="165" fontId="2" fillId="0" borderId="0" xfId="0" applyNumberFormat="1" applyFont="1" applyFill="1"/>
    <xf numFmtId="165" fontId="1" fillId="0" borderId="0" xfId="0" applyNumberFormat="1" applyFont="1" applyFill="1"/>
    <xf numFmtId="165" fontId="8" fillId="5" borderId="0" xfId="0" applyNumberFormat="1" applyFont="1" applyFill="1"/>
    <xf numFmtId="4" fontId="1" fillId="5" borderId="0" xfId="0" applyNumberFormat="1" applyFont="1" applyFill="1"/>
    <xf numFmtId="164" fontId="2" fillId="5" borderId="0" xfId="0" applyNumberFormat="1" applyFont="1" applyFill="1"/>
    <xf numFmtId="0" fontId="8" fillId="4" borderId="0" xfId="0" applyFont="1" applyFill="1" applyBorder="1" applyAlignment="1">
      <alignment horizontal="left" indent="1"/>
    </xf>
    <xf numFmtId="9" fontId="8" fillId="0" borderId="0" xfId="0" applyNumberFormat="1" applyFont="1" applyFill="1"/>
    <xf numFmtId="167" fontId="1" fillId="0" borderId="0" xfId="0" applyNumberFormat="1" applyFont="1" applyFill="1"/>
    <xf numFmtId="167" fontId="1" fillId="5" borderId="0" xfId="0" applyNumberFormat="1" applyFont="1" applyFill="1"/>
    <xf numFmtId="9" fontId="1" fillId="0" borderId="0" xfId="0" applyNumberFormat="1" applyFont="1" applyFill="1"/>
    <xf numFmtId="0" fontId="10" fillId="0" borderId="0" xfId="0" applyFont="1" applyAlignment="1">
      <alignment horizontal="left" vertical="center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66675</xdr:rowOff>
    </xdr:from>
    <xdr:to>
      <xdr:col>5</xdr:col>
      <xdr:colOff>266700</xdr:colOff>
      <xdr:row>3</xdr:row>
      <xdr:rowOff>152400</xdr:rowOff>
    </xdr:to>
    <xdr:pic>
      <xdr:nvPicPr>
        <xdr:cNvPr id="2" name="Picture 1" descr="https://logo.clearbit.com/uk.hornby.com">
          <a:extLst>
            <a:ext uri="{FF2B5EF4-FFF2-40B4-BE49-F238E27FC236}">
              <a16:creationId xmlns:a16="http://schemas.microsoft.com/office/drawing/2014/main" id="{94FF6596-2814-4F73-82CA-0B02F5CF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66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115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77BC87-04A7-4C41-9BD4-D1F2AB602850}"/>
            </a:ext>
          </a:extLst>
        </xdr:cNvPr>
        <xdr:cNvCxnSpPr/>
      </xdr:nvCxnSpPr>
      <xdr:spPr>
        <a:xfrm>
          <a:off x="13249275" y="0"/>
          <a:ext cx="0" cy="16821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0</xdr:colOff>
      <xdr:row>117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C4AE73A-5327-4B77-8F0B-F7B1139A6715}"/>
            </a:ext>
          </a:extLst>
        </xdr:cNvPr>
        <xdr:cNvCxnSpPr/>
      </xdr:nvCxnSpPr>
      <xdr:spPr>
        <a:xfrm>
          <a:off x="8362950" y="0"/>
          <a:ext cx="0" cy="170116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rnby.plc.u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p-hornby-2020.s3.eu-west-2.amazonaws.com/media/2020/02/07150249/28793_Hornby_AR18_FINAL-FINAL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p-hornby-2020.s3.eu-west-2.amazonaws.com/media/2020/08/05094828/Hornby-%E2%80%93-Annual-Report-2020-1.pdf" TargetMode="External"/><Relationship Id="rId1" Type="http://schemas.openxmlformats.org/officeDocument/2006/relationships/hyperlink" Target="https://wp-hornby-2020.s3.eu-west-2.amazonaws.com/media/2022/08/Hornby-Annual-Report-2022-Web-Ready-Singles.pdf" TargetMode="External"/><Relationship Id="rId6" Type="http://schemas.openxmlformats.org/officeDocument/2006/relationships/hyperlink" Target="https://wp-hornby-2020.s3.eu-west-2.amazonaws.com/media/2021/08/10085319/37132_Hornby-ARA-2021-web.pdf" TargetMode="External"/><Relationship Id="rId5" Type="http://schemas.openxmlformats.org/officeDocument/2006/relationships/hyperlink" Target="https://polaris.brighterir.com/public/hornby/news/rns/story/r79vegx" TargetMode="External"/><Relationship Id="rId4" Type="http://schemas.openxmlformats.org/officeDocument/2006/relationships/hyperlink" Target="https://wp-hornby-2020.s3.eu-west-2.amazonaws.com/media/2021/11/Interim-2021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22E-B96F-437C-8E98-98E56FA92AC3}">
  <dimension ref="A2:Y39"/>
  <sheetViews>
    <sheetView workbookViewId="0">
      <selection activeCell="G23" sqref="G23:AB27"/>
    </sheetView>
  </sheetViews>
  <sheetFormatPr defaultRowHeight="12.75" x14ac:dyDescent="0.2"/>
  <cols>
    <col min="1" max="16384" width="9.140625" style="1"/>
  </cols>
  <sheetData>
    <row r="2" spans="1:25" x14ac:dyDescent="0.2">
      <c r="B2" s="2" t="s">
        <v>0</v>
      </c>
    </row>
    <row r="3" spans="1:25" x14ac:dyDescent="0.2">
      <c r="B3" s="2" t="s">
        <v>1</v>
      </c>
    </row>
    <row r="5" spans="1:25" x14ac:dyDescent="0.2">
      <c r="B5" s="82" t="s">
        <v>2</v>
      </c>
      <c r="C5" s="83"/>
      <c r="D5" s="84"/>
      <c r="G5" s="82" t="s">
        <v>27</v>
      </c>
      <c r="H5" s="83"/>
      <c r="I5" s="83"/>
      <c r="J5" s="83"/>
      <c r="K5" s="83"/>
      <c r="L5" s="83"/>
      <c r="M5" s="83"/>
      <c r="N5" s="83"/>
      <c r="O5" s="83"/>
      <c r="P5" s="83"/>
      <c r="Q5" s="84"/>
      <c r="V5" s="82" t="s">
        <v>24</v>
      </c>
      <c r="W5" s="83"/>
      <c r="X5" s="83"/>
      <c r="Y5" s="84"/>
    </row>
    <row r="6" spans="1:25" x14ac:dyDescent="0.2">
      <c r="B6" s="36" t="s">
        <v>3</v>
      </c>
      <c r="C6" s="3">
        <v>0.29849999999999999</v>
      </c>
      <c r="D6" s="16"/>
      <c r="G6" s="55">
        <v>44927</v>
      </c>
      <c r="H6" s="4" t="s">
        <v>128</v>
      </c>
      <c r="I6" s="4"/>
      <c r="J6" s="4"/>
      <c r="K6" s="4"/>
      <c r="L6" s="4"/>
      <c r="M6" s="4"/>
      <c r="N6" s="4"/>
      <c r="O6" s="4"/>
      <c r="P6" s="4"/>
      <c r="Q6" s="5"/>
      <c r="V6" s="78" t="s">
        <v>25</v>
      </c>
      <c r="W6" s="4"/>
      <c r="X6" s="4"/>
      <c r="Y6" s="5"/>
    </row>
    <row r="7" spans="1:25" x14ac:dyDescent="0.2">
      <c r="B7" s="36" t="s">
        <v>4</v>
      </c>
      <c r="C7" s="14">
        <f>'Financial Model'!M20</f>
        <v>169.85377</v>
      </c>
      <c r="D7" s="16" t="s">
        <v>29</v>
      </c>
      <c r="G7" s="10"/>
      <c r="H7" s="4"/>
      <c r="I7" s="4"/>
      <c r="J7" s="4"/>
      <c r="K7" s="4"/>
      <c r="L7" s="4"/>
      <c r="M7" s="4"/>
      <c r="N7" s="4"/>
      <c r="O7" s="4"/>
      <c r="P7" s="4"/>
      <c r="Q7" s="5"/>
      <c r="V7" s="79" t="s">
        <v>125</v>
      </c>
      <c r="W7" s="4"/>
      <c r="X7" s="4"/>
      <c r="Y7" s="5"/>
    </row>
    <row r="8" spans="1:25" x14ac:dyDescent="0.2">
      <c r="B8" s="36" t="s">
        <v>5</v>
      </c>
      <c r="C8" s="14">
        <f>C6*C7</f>
        <v>50.701350344999994</v>
      </c>
      <c r="D8" s="16"/>
      <c r="G8" s="55">
        <v>44927</v>
      </c>
      <c r="H8" s="4" t="s">
        <v>127</v>
      </c>
      <c r="I8" s="4"/>
      <c r="J8" s="4"/>
      <c r="K8" s="4"/>
      <c r="L8" s="4"/>
      <c r="M8" s="4"/>
      <c r="N8" s="4"/>
      <c r="O8" s="4"/>
      <c r="P8" s="4"/>
      <c r="Q8" s="5"/>
      <c r="V8" s="79" t="s">
        <v>126</v>
      </c>
      <c r="W8" s="4"/>
      <c r="X8" s="4"/>
      <c r="Y8" s="5"/>
    </row>
    <row r="9" spans="1:25" x14ac:dyDescent="0.2">
      <c r="B9" s="36" t="s">
        <v>6</v>
      </c>
      <c r="C9" s="14">
        <f>'Financial Model'!M65</f>
        <v>3.6820000000000004</v>
      </c>
      <c r="D9" s="16" t="s">
        <v>29</v>
      </c>
      <c r="G9" s="10"/>
      <c r="H9" s="4"/>
      <c r="I9" s="4"/>
      <c r="J9" s="4"/>
      <c r="K9" s="4"/>
      <c r="L9" s="4"/>
      <c r="M9" s="4"/>
      <c r="N9" s="4"/>
      <c r="O9" s="4"/>
      <c r="P9" s="4"/>
      <c r="Q9" s="5"/>
      <c r="V9" s="19"/>
      <c r="W9" s="4"/>
      <c r="X9" s="4"/>
      <c r="Y9" s="5"/>
    </row>
    <row r="10" spans="1:25" x14ac:dyDescent="0.2">
      <c r="B10" s="36" t="s">
        <v>7</v>
      </c>
      <c r="C10" s="14">
        <f>'Financial Model'!M66</f>
        <v>6.81</v>
      </c>
      <c r="D10" s="16" t="s">
        <v>29</v>
      </c>
      <c r="G10" s="55">
        <v>44896</v>
      </c>
      <c r="H10" s="4" t="s">
        <v>121</v>
      </c>
      <c r="I10" s="4"/>
      <c r="J10" s="4"/>
      <c r="K10" s="4"/>
      <c r="L10" s="4"/>
      <c r="M10" s="4"/>
      <c r="N10" s="4"/>
      <c r="O10" s="4"/>
      <c r="P10" s="4"/>
      <c r="Q10" s="5"/>
      <c r="V10" s="78" t="s">
        <v>34</v>
      </c>
      <c r="W10" s="4"/>
      <c r="X10" s="4"/>
      <c r="Y10" s="5"/>
    </row>
    <row r="11" spans="1:25" x14ac:dyDescent="0.2">
      <c r="B11" s="36" t="s">
        <v>8</v>
      </c>
      <c r="C11" s="14">
        <f>C9-C10</f>
        <v>-3.1279999999999992</v>
      </c>
      <c r="D11" s="16" t="s">
        <v>29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5"/>
      <c r="V11" s="79" t="s">
        <v>136</v>
      </c>
      <c r="W11" s="4"/>
      <c r="X11" s="4"/>
      <c r="Y11" s="5"/>
    </row>
    <row r="12" spans="1:25" x14ac:dyDescent="0.2">
      <c r="B12" s="37" t="s">
        <v>9</v>
      </c>
      <c r="C12" s="15">
        <f>C8-C11</f>
        <v>53.829350344999995</v>
      </c>
      <c r="D12" s="17"/>
      <c r="G12" s="55">
        <v>44866</v>
      </c>
      <c r="H12" s="4" t="s">
        <v>119</v>
      </c>
      <c r="I12" s="4"/>
      <c r="J12" s="4"/>
      <c r="K12" s="4"/>
      <c r="L12" s="4"/>
      <c r="M12" s="4"/>
      <c r="N12" s="4"/>
      <c r="O12" s="4"/>
      <c r="P12" s="4"/>
      <c r="Q12" s="5"/>
      <c r="V12" s="79" t="s">
        <v>137</v>
      </c>
      <c r="W12" s="4"/>
      <c r="X12" s="4"/>
      <c r="Y12" s="5"/>
    </row>
    <row r="13" spans="1:25" x14ac:dyDescent="0.2">
      <c r="G13" s="10"/>
      <c r="H13" s="72" t="s">
        <v>120</v>
      </c>
      <c r="I13" s="4"/>
      <c r="J13" s="4"/>
      <c r="K13" s="4"/>
      <c r="L13" s="4"/>
      <c r="M13" s="4"/>
      <c r="N13" s="4"/>
      <c r="O13" s="4"/>
      <c r="P13" s="4"/>
      <c r="Q13" s="5"/>
      <c r="V13" s="78" t="s">
        <v>26</v>
      </c>
      <c r="W13" s="4"/>
      <c r="X13" s="4"/>
      <c r="Y13" s="5"/>
    </row>
    <row r="14" spans="1:25" x14ac:dyDescent="0.2">
      <c r="G14" s="10"/>
      <c r="H14" s="4"/>
      <c r="I14" s="4"/>
      <c r="J14" s="4"/>
      <c r="K14" s="4"/>
      <c r="L14" s="4"/>
      <c r="M14" s="4"/>
      <c r="N14" s="4"/>
      <c r="O14" s="4"/>
      <c r="P14" s="4"/>
      <c r="Q14" s="5"/>
      <c r="V14" s="78" t="s">
        <v>28</v>
      </c>
      <c r="W14" s="4"/>
      <c r="X14" s="4"/>
      <c r="Y14" s="5"/>
    </row>
    <row r="15" spans="1:25" x14ac:dyDescent="0.2">
      <c r="A15" s="18"/>
      <c r="B15" s="82" t="s">
        <v>10</v>
      </c>
      <c r="C15" s="83"/>
      <c r="D15" s="84"/>
      <c r="G15" s="55">
        <v>44409</v>
      </c>
      <c r="H15" s="4" t="s">
        <v>114</v>
      </c>
      <c r="I15" s="4"/>
      <c r="J15" s="4"/>
      <c r="K15" s="4"/>
      <c r="L15" s="4"/>
      <c r="M15" s="4"/>
      <c r="N15" s="4"/>
      <c r="O15" s="4"/>
      <c r="P15" s="4"/>
      <c r="Q15" s="5"/>
      <c r="V15" s="78" t="s">
        <v>112</v>
      </c>
      <c r="W15" s="4"/>
      <c r="X15" s="4"/>
      <c r="Y15" s="5"/>
    </row>
    <row r="16" spans="1:25" x14ac:dyDescent="0.2">
      <c r="A16" s="18"/>
      <c r="B16" s="8" t="s">
        <v>11</v>
      </c>
      <c r="C16" s="80" t="s">
        <v>118</v>
      </c>
      <c r="D16" s="81"/>
      <c r="G16" s="10"/>
      <c r="H16" s="4"/>
      <c r="I16" s="4"/>
      <c r="J16" s="4"/>
      <c r="K16" s="4"/>
      <c r="L16" s="4"/>
      <c r="M16" s="4"/>
      <c r="N16" s="4"/>
      <c r="O16" s="4"/>
      <c r="P16" s="4"/>
      <c r="Q16" s="5"/>
      <c r="V16" s="20"/>
      <c r="W16" s="6"/>
      <c r="X16" s="6"/>
      <c r="Y16" s="7"/>
    </row>
    <row r="17" spans="1:17" x14ac:dyDescent="0.2">
      <c r="A17" s="18"/>
      <c r="B17" s="8" t="s">
        <v>12</v>
      </c>
      <c r="C17" s="80" t="s">
        <v>21</v>
      </c>
      <c r="D17" s="81"/>
      <c r="G17" s="10"/>
      <c r="H17" s="4"/>
      <c r="I17" s="4"/>
      <c r="J17" s="4"/>
      <c r="K17" s="4"/>
      <c r="L17" s="4"/>
      <c r="M17" s="4"/>
      <c r="N17" s="4"/>
      <c r="O17" s="4"/>
      <c r="P17" s="4"/>
      <c r="Q17" s="5"/>
    </row>
    <row r="18" spans="1:17" x14ac:dyDescent="0.2">
      <c r="A18" s="18"/>
      <c r="B18" s="8"/>
      <c r="C18" s="80" t="s">
        <v>22</v>
      </c>
      <c r="D18" s="81"/>
      <c r="G18" s="10"/>
      <c r="H18" s="4"/>
      <c r="I18" s="4"/>
      <c r="J18" s="4"/>
      <c r="K18" s="4"/>
      <c r="L18" s="4"/>
      <c r="M18" s="4"/>
      <c r="N18" s="4"/>
      <c r="O18" s="4"/>
      <c r="P18" s="4"/>
      <c r="Q18" s="5"/>
    </row>
    <row r="19" spans="1:17" x14ac:dyDescent="0.2">
      <c r="A19" s="18" t="s">
        <v>130</v>
      </c>
      <c r="B19" s="9" t="s">
        <v>129</v>
      </c>
      <c r="C19" s="92" t="s">
        <v>23</v>
      </c>
      <c r="D19" s="93"/>
      <c r="G19" s="11"/>
      <c r="H19" s="6"/>
      <c r="I19" s="6"/>
      <c r="J19" s="6"/>
      <c r="K19" s="6"/>
      <c r="L19" s="6"/>
      <c r="M19" s="6"/>
      <c r="N19" s="6"/>
      <c r="O19" s="6"/>
      <c r="P19" s="6"/>
      <c r="Q19" s="7"/>
    </row>
    <row r="22" spans="1:17" x14ac:dyDescent="0.2">
      <c r="B22" s="82" t="s">
        <v>13</v>
      </c>
      <c r="C22" s="83"/>
      <c r="D22" s="84"/>
    </row>
    <row r="23" spans="1:17" x14ac:dyDescent="0.2">
      <c r="B23" s="10" t="s">
        <v>14</v>
      </c>
      <c r="C23" s="80" t="s">
        <v>20</v>
      </c>
      <c r="D23" s="81"/>
    </row>
    <row r="24" spans="1:17" x14ac:dyDescent="0.2">
      <c r="B24" s="10" t="s">
        <v>15</v>
      </c>
      <c r="C24" s="80">
        <v>1907</v>
      </c>
      <c r="D24" s="81"/>
      <c r="G24" s="77" t="s">
        <v>124</v>
      </c>
    </row>
    <row r="25" spans="1:17" x14ac:dyDescent="0.2">
      <c r="B25" s="10" t="s">
        <v>102</v>
      </c>
      <c r="C25" s="90">
        <f>'Financial Model'!U38</f>
        <v>16.462</v>
      </c>
      <c r="D25" s="91"/>
      <c r="G25" s="77" t="s">
        <v>123</v>
      </c>
    </row>
    <row r="26" spans="1:17" x14ac:dyDescent="0.2">
      <c r="B26" s="10" t="s">
        <v>107</v>
      </c>
      <c r="C26" s="89">
        <f>'Financial Model'!U62</f>
        <v>8.6457233368532282E-2</v>
      </c>
      <c r="D26" s="81"/>
      <c r="G26" s="77" t="s">
        <v>122</v>
      </c>
    </row>
    <row r="27" spans="1:17" x14ac:dyDescent="0.2">
      <c r="B27" s="10"/>
      <c r="C27" s="80"/>
      <c r="D27" s="81"/>
      <c r="G27" s="77"/>
    </row>
    <row r="28" spans="1:17" x14ac:dyDescent="0.2">
      <c r="B28" s="10" t="s">
        <v>17</v>
      </c>
      <c r="C28" s="80" t="s">
        <v>29</v>
      </c>
      <c r="D28" s="81"/>
    </row>
    <row r="29" spans="1:17" x14ac:dyDescent="0.2">
      <c r="B29" s="11" t="s">
        <v>16</v>
      </c>
      <c r="C29" s="85" t="s">
        <v>18</v>
      </c>
      <c r="D29" s="86"/>
    </row>
    <row r="32" spans="1:17" x14ac:dyDescent="0.2">
      <c r="B32" s="82" t="s">
        <v>19</v>
      </c>
      <c r="C32" s="83"/>
      <c r="D32" s="84"/>
    </row>
    <row r="33" spans="2:4" x14ac:dyDescent="0.2">
      <c r="B33" s="10" t="s">
        <v>94</v>
      </c>
      <c r="C33" s="87">
        <f>C6/'Financial Model'!M60</f>
        <v>1.229064053742849</v>
      </c>
      <c r="D33" s="88"/>
    </row>
    <row r="34" spans="2:4" x14ac:dyDescent="0.2">
      <c r="B34" s="10" t="s">
        <v>109</v>
      </c>
      <c r="C34" s="87">
        <f>C6/'Financial Model'!U19</f>
        <v>33.690538539553799</v>
      </c>
      <c r="D34" s="88"/>
    </row>
    <row r="35" spans="2:4" x14ac:dyDescent="0.2">
      <c r="B35" s="10" t="s">
        <v>110</v>
      </c>
      <c r="C35" s="87">
        <f>C12/'Financial Model'!U18</f>
        <v>36.395774405003429</v>
      </c>
      <c r="D35" s="88"/>
    </row>
    <row r="36" spans="2:4" x14ac:dyDescent="0.2">
      <c r="B36" s="10"/>
      <c r="C36" s="80"/>
      <c r="D36" s="81"/>
    </row>
    <row r="37" spans="2:4" x14ac:dyDescent="0.2">
      <c r="B37" s="10"/>
      <c r="C37" s="80"/>
      <c r="D37" s="81"/>
    </row>
    <row r="38" spans="2:4" x14ac:dyDescent="0.2">
      <c r="B38" s="10"/>
      <c r="C38" s="12"/>
      <c r="D38" s="13"/>
    </row>
    <row r="39" spans="2:4" x14ac:dyDescent="0.2">
      <c r="B39" s="10"/>
      <c r="C39" s="12"/>
      <c r="D39" s="13"/>
    </row>
  </sheetData>
  <mergeCells count="22">
    <mergeCell ref="C19:D19"/>
    <mergeCell ref="B5:D5"/>
    <mergeCell ref="B15:D15"/>
    <mergeCell ref="C16:D16"/>
    <mergeCell ref="C17:D17"/>
    <mergeCell ref="C18:D18"/>
    <mergeCell ref="C37:D37"/>
    <mergeCell ref="V5:Y5"/>
    <mergeCell ref="C29:D29"/>
    <mergeCell ref="B32:D32"/>
    <mergeCell ref="C33:D33"/>
    <mergeCell ref="C34:D34"/>
    <mergeCell ref="C35:D35"/>
    <mergeCell ref="C36:D36"/>
    <mergeCell ref="B22:D22"/>
    <mergeCell ref="C23:D23"/>
    <mergeCell ref="C24:D24"/>
    <mergeCell ref="C26:D26"/>
    <mergeCell ref="C25:D25"/>
    <mergeCell ref="C28:D28"/>
    <mergeCell ref="C27:D27"/>
    <mergeCell ref="G5:Q5"/>
  </mergeCells>
  <hyperlinks>
    <hyperlink ref="C29:D29" r:id="rId1" display="Link" xr:uid="{DCC15395-9800-42C6-A051-2B2869197E07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169E-3E8F-4BA7-8806-4E2301312E77}">
  <dimension ref="B1:AE103"/>
  <sheetViews>
    <sheetView tabSelected="1" zoomScaleNormal="100"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R99" sqref="R99"/>
    </sheetView>
  </sheetViews>
  <sheetFormatPr defaultRowHeight="12.75" x14ac:dyDescent="0.2"/>
  <cols>
    <col min="1" max="1" width="3.85546875" style="1" customWidth="1"/>
    <col min="2" max="2" width="24.28515625" style="1" bestFit="1" customWidth="1"/>
    <col min="3" max="3" width="9.140625" style="1"/>
    <col min="4" max="4" width="9.140625" style="30"/>
    <col min="5" max="5" width="9.140625" style="1"/>
    <col min="6" max="6" width="9.140625" style="30"/>
    <col min="7" max="7" width="9.140625" style="1"/>
    <col min="8" max="8" width="9.140625" style="30"/>
    <col min="9" max="9" width="9.140625" style="1"/>
    <col min="10" max="10" width="9.140625" style="30"/>
    <col min="11" max="11" width="9.140625" style="1"/>
    <col min="12" max="12" width="9.140625" style="30"/>
    <col min="13" max="13" width="9.140625" style="63"/>
    <col min="14" max="14" width="9.140625" style="30"/>
    <col min="15" max="20" width="9.140625" style="1"/>
    <col min="21" max="21" width="9.140625" style="1" customWidth="1"/>
    <col min="22" max="22" width="9.140625" style="48"/>
    <col min="23" max="16384" width="9.140625" style="1"/>
  </cols>
  <sheetData>
    <row r="1" spans="2:31" s="21" customFormat="1" x14ac:dyDescent="0.2">
      <c r="C1" s="21" t="s">
        <v>59</v>
      </c>
      <c r="D1" s="27" t="s">
        <v>60</v>
      </c>
      <c r="E1" s="21" t="s">
        <v>61</v>
      </c>
      <c r="F1" s="27" t="s">
        <v>62</v>
      </c>
      <c r="G1" s="21" t="s">
        <v>63</v>
      </c>
      <c r="H1" s="27" t="s">
        <v>64</v>
      </c>
      <c r="I1" s="21" t="s">
        <v>65</v>
      </c>
      <c r="J1" s="27" t="s">
        <v>66</v>
      </c>
      <c r="K1" s="44" t="s">
        <v>67</v>
      </c>
      <c r="L1" s="27" t="s">
        <v>68</v>
      </c>
      <c r="M1" s="65" t="s">
        <v>69</v>
      </c>
      <c r="N1" s="27" t="s">
        <v>70</v>
      </c>
      <c r="P1" s="21" t="s">
        <v>108</v>
      </c>
      <c r="Q1" s="44" t="s">
        <v>33</v>
      </c>
      <c r="R1" s="21" t="s">
        <v>32</v>
      </c>
      <c r="S1" s="44" t="s">
        <v>31</v>
      </c>
      <c r="T1" s="44" t="s">
        <v>30</v>
      </c>
      <c r="U1" s="44" t="s">
        <v>29</v>
      </c>
      <c r="V1" s="46" t="s">
        <v>46</v>
      </c>
      <c r="W1" s="21" t="s">
        <v>47</v>
      </c>
      <c r="X1" s="21" t="s">
        <v>48</v>
      </c>
      <c r="Y1" s="21" t="s">
        <v>49</v>
      </c>
      <c r="Z1" s="21" t="s">
        <v>50</v>
      </c>
      <c r="AA1" s="21" t="s">
        <v>51</v>
      </c>
      <c r="AB1" s="21" t="s">
        <v>52</v>
      </c>
      <c r="AC1" s="21" t="s">
        <v>53</v>
      </c>
      <c r="AD1" s="21" t="s">
        <v>54</v>
      </c>
      <c r="AE1" s="21" t="s">
        <v>55</v>
      </c>
    </row>
    <row r="2" spans="2:31" s="23" customFormat="1" x14ac:dyDescent="0.2">
      <c r="B2" s="22"/>
      <c r="D2" s="45">
        <v>43190</v>
      </c>
      <c r="F2" s="45">
        <v>43555</v>
      </c>
      <c r="H2" s="45">
        <v>43921</v>
      </c>
      <c r="I2" s="26">
        <v>44104</v>
      </c>
      <c r="J2" s="45">
        <v>44286</v>
      </c>
      <c r="K2" s="26">
        <v>44469</v>
      </c>
      <c r="L2" s="45">
        <v>44651</v>
      </c>
      <c r="M2" s="66">
        <v>44834</v>
      </c>
      <c r="N2" s="28"/>
      <c r="P2" s="26">
        <v>42825</v>
      </c>
      <c r="Q2" s="26">
        <v>43190</v>
      </c>
      <c r="R2" s="26">
        <v>43555</v>
      </c>
      <c r="S2" s="26">
        <v>43921</v>
      </c>
      <c r="T2" s="26">
        <v>44286</v>
      </c>
      <c r="U2" s="26">
        <v>44651</v>
      </c>
      <c r="V2" s="51" t="s">
        <v>111</v>
      </c>
    </row>
    <row r="3" spans="2:31" s="2" customFormat="1" x14ac:dyDescent="0.2">
      <c r="B3" s="2" t="s">
        <v>35</v>
      </c>
      <c r="D3" s="29"/>
      <c r="F3" s="29"/>
      <c r="H3" s="29"/>
      <c r="I3" s="24">
        <v>21.138000000000002</v>
      </c>
      <c r="J3" s="57">
        <f>T3-I3</f>
        <v>27.410999999999998</v>
      </c>
      <c r="K3" s="24">
        <v>21.844999999999999</v>
      </c>
      <c r="L3" s="57">
        <f>U3-K3</f>
        <v>31.893999999999998</v>
      </c>
      <c r="M3" s="67">
        <v>22.41</v>
      </c>
      <c r="N3" s="71"/>
      <c r="P3" s="24">
        <v>47.42</v>
      </c>
      <c r="Q3" s="24">
        <v>35.651000000000003</v>
      </c>
      <c r="R3" s="24">
        <v>32.759</v>
      </c>
      <c r="S3" s="24">
        <v>37.841999999999999</v>
      </c>
      <c r="T3" s="24">
        <v>48.548999999999999</v>
      </c>
      <c r="U3" s="24">
        <v>53.738999999999997</v>
      </c>
      <c r="V3" s="47"/>
    </row>
    <row r="4" spans="2:31" x14ac:dyDescent="0.2">
      <c r="B4" s="1" t="s">
        <v>36</v>
      </c>
      <c r="I4" s="25">
        <v>11.276</v>
      </c>
      <c r="J4" s="58">
        <f>T4-I4</f>
        <v>15.519000000000002</v>
      </c>
      <c r="K4" s="25">
        <v>11.72</v>
      </c>
      <c r="L4" s="58">
        <f>U4-K4</f>
        <v>16.302999999999997</v>
      </c>
      <c r="M4" s="68">
        <v>11.683</v>
      </c>
      <c r="P4" s="25">
        <v>29.27</v>
      </c>
      <c r="Q4" s="25">
        <v>21.9</v>
      </c>
      <c r="R4" s="25">
        <v>19.347999999999999</v>
      </c>
      <c r="S4" s="25">
        <v>21.14</v>
      </c>
      <c r="T4" s="25">
        <v>26.795000000000002</v>
      </c>
      <c r="U4" s="25">
        <v>28.023</v>
      </c>
    </row>
    <row r="5" spans="2:31" s="2" customFormat="1" x14ac:dyDescent="0.2">
      <c r="B5" s="2" t="s">
        <v>37</v>
      </c>
      <c r="D5" s="29"/>
      <c r="F5" s="29"/>
      <c r="H5" s="29"/>
      <c r="I5" s="24">
        <f t="shared" ref="I5:M5" si="0">I3-I4</f>
        <v>9.8620000000000019</v>
      </c>
      <c r="J5" s="57">
        <f t="shared" si="0"/>
        <v>11.891999999999996</v>
      </c>
      <c r="K5" s="24">
        <f t="shared" si="0"/>
        <v>10.124999999999998</v>
      </c>
      <c r="L5" s="57">
        <f t="shared" si="0"/>
        <v>15.591000000000001</v>
      </c>
      <c r="M5" s="24">
        <f t="shared" si="0"/>
        <v>10.727</v>
      </c>
      <c r="N5" s="29"/>
      <c r="P5" s="24">
        <f t="shared" ref="P5:Q5" si="1">P3-P4</f>
        <v>18.150000000000002</v>
      </c>
      <c r="Q5" s="24">
        <f t="shared" si="1"/>
        <v>13.751000000000005</v>
      </c>
      <c r="R5" s="24">
        <f>R3-R4</f>
        <v>13.411000000000001</v>
      </c>
      <c r="S5" s="24">
        <f>S3-S4</f>
        <v>16.701999999999998</v>
      </c>
      <c r="T5" s="24">
        <f>T3-T4</f>
        <v>21.753999999999998</v>
      </c>
      <c r="U5" s="24">
        <f>U3-U4</f>
        <v>25.715999999999998</v>
      </c>
      <c r="V5" s="47"/>
    </row>
    <row r="6" spans="2:31" x14ac:dyDescent="0.2">
      <c r="B6" s="1" t="s">
        <v>38</v>
      </c>
      <c r="I6" s="25">
        <v>3.133</v>
      </c>
      <c r="J6" s="58">
        <f t="shared" ref="J6:J15" si="2">T6-I6</f>
        <v>3.665</v>
      </c>
      <c r="K6" s="25">
        <v>3.137</v>
      </c>
      <c r="L6" s="58">
        <f t="shared" ref="L6:L17" si="3">U6-K6</f>
        <v>3.8539999999999996</v>
      </c>
      <c r="M6" s="68">
        <v>3.8330000000000002</v>
      </c>
      <c r="P6" s="25">
        <v>8.4190000000000005</v>
      </c>
      <c r="Q6" s="25">
        <v>7.2240000000000002</v>
      </c>
      <c r="R6" s="25">
        <v>6.1769999999999996</v>
      </c>
      <c r="S6" s="25">
        <v>5.7869999999999999</v>
      </c>
      <c r="T6" s="25">
        <v>6.798</v>
      </c>
      <c r="U6" s="25">
        <v>6.9909999999999997</v>
      </c>
    </row>
    <row r="7" spans="2:31" x14ac:dyDescent="0.2">
      <c r="B7" s="1" t="s">
        <v>39</v>
      </c>
      <c r="I7" s="25">
        <v>3.6819999999999999</v>
      </c>
      <c r="J7" s="58">
        <f t="shared" si="2"/>
        <v>4.1219999999999999</v>
      </c>
      <c r="K7" s="25">
        <v>4.1509999999999998</v>
      </c>
      <c r="L7" s="58">
        <f t="shared" si="3"/>
        <v>4.6810000000000009</v>
      </c>
      <c r="M7" s="68">
        <v>5.0030000000000001</v>
      </c>
      <c r="P7" s="25">
        <v>10.294</v>
      </c>
      <c r="Q7" s="25">
        <v>7.6470000000000002</v>
      </c>
      <c r="R7" s="25">
        <v>6.8259999999999996</v>
      </c>
      <c r="S7" s="25">
        <v>8.1530000000000005</v>
      </c>
      <c r="T7" s="25">
        <v>7.8040000000000003</v>
      </c>
      <c r="U7" s="25">
        <v>8.8320000000000007</v>
      </c>
    </row>
    <row r="8" spans="2:31" x14ac:dyDescent="0.2">
      <c r="B8" s="1" t="s">
        <v>40</v>
      </c>
      <c r="I8" s="25">
        <v>2.657</v>
      </c>
      <c r="J8" s="58">
        <f t="shared" si="2"/>
        <v>3.476</v>
      </c>
      <c r="K8" s="25">
        <v>2.9990000000000001</v>
      </c>
      <c r="L8" s="58">
        <f t="shared" si="3"/>
        <v>5.5149999999999988</v>
      </c>
      <c r="M8" s="68">
        <v>4.1829999999999998</v>
      </c>
      <c r="P8" s="25">
        <v>5.68</v>
      </c>
      <c r="Q8" s="25">
        <v>6.0209999999999999</v>
      </c>
      <c r="R8" s="25">
        <v>4.8120000000000003</v>
      </c>
      <c r="S8" s="25">
        <v>5.6849999999999996</v>
      </c>
      <c r="T8" s="25">
        <v>6.133</v>
      </c>
      <c r="U8" s="25">
        <v>8.5139999999999993</v>
      </c>
      <c r="Y8" s="53"/>
    </row>
    <row r="9" spans="2:31" x14ac:dyDescent="0.2">
      <c r="B9" s="1" t="s">
        <v>41</v>
      </c>
      <c r="I9" s="25">
        <v>-0.151</v>
      </c>
      <c r="J9" s="58">
        <f t="shared" si="2"/>
        <v>-0.09</v>
      </c>
      <c r="K9" s="25">
        <v>-0.16</v>
      </c>
      <c r="L9" s="58">
        <f t="shared" si="3"/>
        <v>-0.13399999999999998</v>
      </c>
      <c r="M9" s="68">
        <v>-0.32800000000000001</v>
      </c>
      <c r="P9" s="25">
        <v>0.35799999999999998</v>
      </c>
      <c r="Q9" s="25">
        <v>-0.437</v>
      </c>
      <c r="R9" s="25">
        <v>-0.22600000000000001</v>
      </c>
      <c r="S9" s="25">
        <v>0.18099999999999999</v>
      </c>
      <c r="T9" s="25">
        <v>-0.24099999999999999</v>
      </c>
      <c r="U9" s="25">
        <v>-0.29399999999999998</v>
      </c>
    </row>
    <row r="10" spans="2:31" x14ac:dyDescent="0.2">
      <c r="B10" s="1" t="s">
        <v>43</v>
      </c>
      <c r="I10" s="25">
        <v>-7.5999999999999998E-2</v>
      </c>
      <c r="J10" s="58">
        <f t="shared" si="2"/>
        <v>-0.13500000000000001</v>
      </c>
      <c r="K10" s="25">
        <v>-0.24099999999999999</v>
      </c>
      <c r="L10" s="58">
        <f t="shared" si="3"/>
        <v>0.10199999999999998</v>
      </c>
      <c r="M10" s="68">
        <v>-0.14799999999999999</v>
      </c>
      <c r="P10" s="25">
        <v>-3.3029999999999999</v>
      </c>
      <c r="Q10" s="25">
        <v>-2.2919999999999998</v>
      </c>
      <c r="R10" s="25">
        <v>-0.59299999999999997</v>
      </c>
      <c r="S10" s="25">
        <v>-7.4999999999999997E-2</v>
      </c>
      <c r="T10" s="25">
        <v>-0.21099999999999999</v>
      </c>
      <c r="U10" s="25">
        <v>-0.13900000000000001</v>
      </c>
    </row>
    <row r="11" spans="2:31" s="2" customFormat="1" x14ac:dyDescent="0.2">
      <c r="B11" s="2" t="s">
        <v>42</v>
      </c>
      <c r="D11" s="29"/>
      <c r="F11" s="29"/>
      <c r="H11" s="29"/>
      <c r="I11" s="24">
        <f t="shared" ref="I11:M11" si="4">I5-I6-I7-I8+I9+I10</f>
        <v>0.16300000000000192</v>
      </c>
      <c r="J11" s="57">
        <f t="shared" si="4"/>
        <v>0.40399999999999692</v>
      </c>
      <c r="K11" s="24">
        <f t="shared" si="4"/>
        <v>-0.56300000000000217</v>
      </c>
      <c r="L11" s="57">
        <f t="shared" si="4"/>
        <v>1.5090000000000021</v>
      </c>
      <c r="M11" s="24">
        <f t="shared" si="4"/>
        <v>-2.7679999999999998</v>
      </c>
      <c r="N11" s="29"/>
      <c r="P11" s="24">
        <f t="shared" ref="P11:U11" si="5">P5-P6-P7-P8+P9+P10</f>
        <v>-9.1879999999999988</v>
      </c>
      <c r="Q11" s="24">
        <f t="shared" si="5"/>
        <v>-9.8699999999999957</v>
      </c>
      <c r="R11" s="24">
        <f t="shared" si="5"/>
        <v>-5.2229999999999981</v>
      </c>
      <c r="S11" s="24">
        <f t="shared" si="5"/>
        <v>-2.8170000000000011</v>
      </c>
      <c r="T11" s="24">
        <f t="shared" si="5"/>
        <v>0.56699999999999751</v>
      </c>
      <c r="U11" s="24">
        <f t="shared" si="5"/>
        <v>0.94599999999999773</v>
      </c>
      <c r="V11" s="47"/>
    </row>
    <row r="12" spans="2:31" x14ac:dyDescent="0.2">
      <c r="B12" s="1" t="s">
        <v>44</v>
      </c>
      <c r="I12" s="25">
        <v>2E-3</v>
      </c>
      <c r="J12" s="58">
        <f t="shared" si="2"/>
        <v>1E-3</v>
      </c>
      <c r="K12" s="25">
        <v>0.01</v>
      </c>
      <c r="L12" s="58">
        <f t="shared" si="3"/>
        <v>4.9999999999999992E-3</v>
      </c>
      <c r="M12" s="68">
        <v>4.0000000000000001E-3</v>
      </c>
      <c r="P12" s="25">
        <v>5.0000000000000001E-3</v>
      </c>
      <c r="Q12" s="25">
        <v>7.0000000000000001E-3</v>
      </c>
      <c r="R12" s="25">
        <v>7.0000000000000001E-3</v>
      </c>
      <c r="S12" s="25">
        <v>3.0000000000000001E-3</v>
      </c>
      <c r="T12" s="25">
        <v>3.0000000000000001E-3</v>
      </c>
      <c r="U12" s="25">
        <v>1.4999999999999999E-2</v>
      </c>
    </row>
    <row r="13" spans="2:31" x14ac:dyDescent="0.2">
      <c r="B13" s="1" t="s">
        <v>45</v>
      </c>
      <c r="I13" s="25">
        <v>0.16200000000000001</v>
      </c>
      <c r="J13" s="58">
        <f t="shared" si="2"/>
        <v>0.17200000000000001</v>
      </c>
      <c r="K13" s="25">
        <v>0.17199999999999999</v>
      </c>
      <c r="L13" s="58">
        <f t="shared" si="3"/>
        <v>0.186</v>
      </c>
      <c r="M13" s="68">
        <v>0.122</v>
      </c>
      <c r="P13" s="25">
        <v>0.32600000000000001</v>
      </c>
      <c r="Q13" s="25">
        <v>0.218</v>
      </c>
      <c r="R13" s="25">
        <v>0.17699999999999999</v>
      </c>
      <c r="S13" s="25">
        <v>0.61499999999999999</v>
      </c>
      <c r="T13" s="25">
        <v>0.33400000000000002</v>
      </c>
      <c r="U13" s="25">
        <v>0.35799999999999998</v>
      </c>
    </row>
    <row r="14" spans="2:31" x14ac:dyDescent="0.2">
      <c r="B14" s="1" t="s">
        <v>58</v>
      </c>
      <c r="I14" s="25">
        <f t="shared" ref="I14:M14" si="6">I12-I13</f>
        <v>-0.16</v>
      </c>
      <c r="J14" s="58">
        <f t="shared" si="6"/>
        <v>-0.17100000000000001</v>
      </c>
      <c r="K14" s="25">
        <f t="shared" si="6"/>
        <v>-0.16199999999999998</v>
      </c>
      <c r="L14" s="58">
        <f t="shared" si="6"/>
        <v>-0.18099999999999999</v>
      </c>
      <c r="M14" s="25">
        <f t="shared" si="6"/>
        <v>-0.11799999999999999</v>
      </c>
      <c r="P14" s="25">
        <f t="shared" ref="P14:U14" si="7">P12-P13</f>
        <v>-0.32100000000000001</v>
      </c>
      <c r="Q14" s="25">
        <f t="shared" si="7"/>
        <v>-0.21099999999999999</v>
      </c>
      <c r="R14" s="25">
        <f t="shared" si="7"/>
        <v>-0.16999999999999998</v>
      </c>
      <c r="S14" s="25">
        <f t="shared" si="7"/>
        <v>-0.61199999999999999</v>
      </c>
      <c r="T14" s="25">
        <f t="shared" si="7"/>
        <v>-0.33100000000000002</v>
      </c>
      <c r="U14" s="25">
        <f t="shared" si="7"/>
        <v>-0.34299999999999997</v>
      </c>
    </row>
    <row r="15" spans="2:31" x14ac:dyDescent="0.2">
      <c r="B15" s="1" t="s">
        <v>56</v>
      </c>
      <c r="I15" s="25">
        <v>1.4E-2</v>
      </c>
      <c r="J15" s="58">
        <f t="shared" si="2"/>
        <v>9.5000000000000001E-2</v>
      </c>
      <c r="K15" s="25">
        <v>-0.02</v>
      </c>
      <c r="L15" s="58">
        <f t="shared" si="3"/>
        <v>0</v>
      </c>
      <c r="M15" s="68">
        <v>0</v>
      </c>
      <c r="P15" s="25">
        <v>0</v>
      </c>
      <c r="Q15" s="25">
        <v>1.4999999999999999E-2</v>
      </c>
      <c r="R15" s="25">
        <v>8.1000000000000003E-2</v>
      </c>
      <c r="S15" s="25">
        <v>3.4000000000000002E-2</v>
      </c>
      <c r="T15" s="25">
        <v>0.109</v>
      </c>
      <c r="U15" s="31">
        <v>-0.02</v>
      </c>
    </row>
    <row r="16" spans="2:31" x14ac:dyDescent="0.2">
      <c r="B16" s="1" t="s">
        <v>57</v>
      </c>
      <c r="I16" s="25">
        <f t="shared" ref="I16:M16" si="8">I11+I14+I15</f>
        <v>1.7000000000001916E-2</v>
      </c>
      <c r="J16" s="58">
        <f t="shared" si="8"/>
        <v>0.32799999999999691</v>
      </c>
      <c r="K16" s="25">
        <f t="shared" si="8"/>
        <v>-0.7450000000000021</v>
      </c>
      <c r="L16" s="58">
        <f t="shared" si="8"/>
        <v>1.3280000000000021</v>
      </c>
      <c r="M16" s="25">
        <f t="shared" si="8"/>
        <v>-2.8859999999999997</v>
      </c>
      <c r="P16" s="25">
        <f t="shared" ref="P16:U16" si="9">P11+P14+P15</f>
        <v>-9.5089999999999986</v>
      </c>
      <c r="Q16" s="25">
        <f t="shared" si="9"/>
        <v>-10.065999999999995</v>
      </c>
      <c r="R16" s="25">
        <f t="shared" si="9"/>
        <v>-5.3119999999999976</v>
      </c>
      <c r="S16" s="25">
        <f t="shared" si="9"/>
        <v>-3.3950000000000014</v>
      </c>
      <c r="T16" s="25">
        <f t="shared" si="9"/>
        <v>0.34499999999999748</v>
      </c>
      <c r="U16" s="25">
        <f t="shared" si="9"/>
        <v>0.58299999999999774</v>
      </c>
    </row>
    <row r="17" spans="2:22" x14ac:dyDescent="0.2">
      <c r="B17" s="1" t="s">
        <v>71</v>
      </c>
      <c r="I17" s="25">
        <v>-3.7999999999999999E-2</v>
      </c>
      <c r="J17" s="58">
        <f t="shared" ref="J17" si="10">J15-J16</f>
        <v>-0.2329999999999969</v>
      </c>
      <c r="K17" s="25">
        <v>0</v>
      </c>
      <c r="L17" s="58">
        <f t="shared" si="3"/>
        <v>-0.89600000000000002</v>
      </c>
      <c r="M17" s="68">
        <v>8.6999999999999994E-2</v>
      </c>
      <c r="P17" s="25">
        <v>0.157</v>
      </c>
      <c r="Q17" s="25">
        <v>-0.21199999999999999</v>
      </c>
      <c r="R17" s="25">
        <v>0</v>
      </c>
      <c r="S17" s="25">
        <v>0</v>
      </c>
      <c r="T17" s="25">
        <v>-1.018</v>
      </c>
      <c r="U17" s="25">
        <v>-0.89600000000000002</v>
      </c>
    </row>
    <row r="18" spans="2:22" s="2" customFormat="1" x14ac:dyDescent="0.2">
      <c r="B18" s="2" t="s">
        <v>72</v>
      </c>
      <c r="D18" s="29"/>
      <c r="F18" s="29"/>
      <c r="H18" s="29"/>
      <c r="I18" s="24">
        <f t="shared" ref="I18:M18" si="11">I16-I17</f>
        <v>5.5000000000001915E-2</v>
      </c>
      <c r="J18" s="57">
        <f t="shared" si="11"/>
        <v>0.56099999999999384</v>
      </c>
      <c r="K18" s="24">
        <f t="shared" si="11"/>
        <v>-0.7450000000000021</v>
      </c>
      <c r="L18" s="57">
        <f t="shared" si="11"/>
        <v>2.224000000000002</v>
      </c>
      <c r="M18" s="24">
        <f t="shared" si="11"/>
        <v>-2.9729999999999999</v>
      </c>
      <c r="N18" s="29"/>
      <c r="P18" s="24">
        <f t="shared" ref="P18:U18" si="12">P16-P17</f>
        <v>-9.6659999999999986</v>
      </c>
      <c r="Q18" s="24">
        <f t="shared" si="12"/>
        <v>-9.8539999999999957</v>
      </c>
      <c r="R18" s="24">
        <f t="shared" si="12"/>
        <v>-5.3119999999999976</v>
      </c>
      <c r="S18" s="24">
        <f t="shared" si="12"/>
        <v>-3.3950000000000014</v>
      </c>
      <c r="T18" s="24">
        <f t="shared" si="12"/>
        <v>1.3629999999999975</v>
      </c>
      <c r="U18" s="24">
        <f t="shared" si="12"/>
        <v>1.4789999999999979</v>
      </c>
      <c r="V18" s="47"/>
    </row>
    <row r="19" spans="2:22" x14ac:dyDescent="0.2">
      <c r="B19" s="1" t="s">
        <v>73</v>
      </c>
      <c r="I19" s="62"/>
      <c r="J19" s="61">
        <f>J18/J20</f>
        <v>3.3607102420789309E-3</v>
      </c>
      <c r="K19" s="62">
        <f t="shared" ref="K19:M19" si="13">K18/K20</f>
        <v>-4.4630063440946385E-3</v>
      </c>
      <c r="L19" s="61">
        <f>L18/L20</f>
        <v>1.3323029551485973E-2</v>
      </c>
      <c r="M19" s="62">
        <f t="shared" si="13"/>
        <v>-1.7503291213377247E-2</v>
      </c>
      <c r="P19" s="33">
        <f t="shared" ref="P19:U19" si="14">P18/P20</f>
        <v>-0.12654482614160031</v>
      </c>
      <c r="Q19" s="33">
        <f t="shared" si="14"/>
        <v>-0.10128690074829369</v>
      </c>
      <c r="R19" s="33">
        <f t="shared" si="14"/>
        <v>-4.2407453237639788E-2</v>
      </c>
      <c r="S19" s="33">
        <f t="shared" si="14"/>
        <v>-2.6691090914808653E-2</v>
      </c>
      <c r="T19" s="33">
        <f t="shared" si="14"/>
        <v>8.1651480569583327E-3</v>
      </c>
      <c r="U19" s="33">
        <f t="shared" si="14"/>
        <v>8.8600542745718106E-3</v>
      </c>
    </row>
    <row r="20" spans="2:22" x14ac:dyDescent="0.2">
      <c r="B20" s="1" t="s">
        <v>4</v>
      </c>
      <c r="I20" s="25"/>
      <c r="J20" s="58">
        <f>T20</f>
        <v>166.929</v>
      </c>
      <c r="K20" s="25">
        <v>166.92783800000001</v>
      </c>
      <c r="L20" s="58">
        <f>U20</f>
        <v>166.929</v>
      </c>
      <c r="M20" s="68">
        <v>169.85377</v>
      </c>
      <c r="P20" s="25">
        <v>76.384</v>
      </c>
      <c r="Q20" s="25">
        <v>97.287999999999997</v>
      </c>
      <c r="R20" s="25">
        <v>125.261</v>
      </c>
      <c r="S20" s="25">
        <v>127.196</v>
      </c>
      <c r="T20" s="25">
        <v>166.929</v>
      </c>
      <c r="U20" s="25">
        <v>166.929</v>
      </c>
    </row>
    <row r="21" spans="2:22" x14ac:dyDescent="0.2">
      <c r="U21" s="25"/>
    </row>
    <row r="22" spans="2:22" s="2" customFormat="1" x14ac:dyDescent="0.2">
      <c r="B22" s="2" t="s">
        <v>95</v>
      </c>
      <c r="D22" s="29"/>
      <c r="F22" s="29"/>
      <c r="H22" s="29"/>
      <c r="J22" s="29"/>
      <c r="K22" s="34">
        <f>K3/I3-1</f>
        <v>3.3446872930267713E-2</v>
      </c>
      <c r="L22" s="60">
        <f>L3/J3-1</f>
        <v>0.16354748093830951</v>
      </c>
      <c r="M22" s="34">
        <f>M3/K3-1</f>
        <v>2.5864042114900565E-2</v>
      </c>
      <c r="N22" s="60"/>
      <c r="P22" s="54" t="s">
        <v>101</v>
      </c>
      <c r="Q22" s="34">
        <f t="shared" ref="Q22" si="15">Q3/P3-1</f>
        <v>-0.24818641923239138</v>
      </c>
      <c r="R22" s="34">
        <f t="shared" ref="R22" si="16">R3/Q3-1</f>
        <v>-8.1119744186698872E-2</v>
      </c>
      <c r="S22" s="34">
        <f t="shared" ref="S22:T22" si="17">S3/R3-1</f>
        <v>0.15516346652828217</v>
      </c>
      <c r="T22" s="34">
        <f t="shared" si="17"/>
        <v>0.28293959093071197</v>
      </c>
      <c r="U22" s="34">
        <f>U3/T3-1</f>
        <v>0.10690230488784525</v>
      </c>
      <c r="V22" s="49"/>
    </row>
    <row r="23" spans="2:22" x14ac:dyDescent="0.2">
      <c r="B23" s="1" t="s">
        <v>96</v>
      </c>
      <c r="J23" s="59">
        <f>J3/I3-1</f>
        <v>0.29676412148736842</v>
      </c>
      <c r="K23" s="41">
        <f>K3/J3-1</f>
        <v>-0.2030571668308343</v>
      </c>
      <c r="L23" s="59">
        <f>L3/K3-1</f>
        <v>0.46001373311970695</v>
      </c>
      <c r="M23" s="41">
        <f>M3/L3-1</f>
        <v>-0.29736000501661752</v>
      </c>
      <c r="P23" s="35" t="s">
        <v>101</v>
      </c>
      <c r="Q23" s="35" t="s">
        <v>101</v>
      </c>
      <c r="R23" s="35" t="s">
        <v>101</v>
      </c>
      <c r="S23" s="35" t="s">
        <v>101</v>
      </c>
      <c r="T23" s="35" t="s">
        <v>101</v>
      </c>
      <c r="U23" s="35" t="s">
        <v>101</v>
      </c>
    </row>
    <row r="24" spans="2:22" x14ac:dyDescent="0.2">
      <c r="U24" s="25"/>
    </row>
    <row r="25" spans="2:22" x14ac:dyDescent="0.2">
      <c r="B25" s="1" t="s">
        <v>97</v>
      </c>
      <c r="I25" s="41">
        <f t="shared" ref="I25:J25" si="18">I5/I3</f>
        <v>0.46655312706973229</v>
      </c>
      <c r="J25" s="59">
        <f t="shared" si="18"/>
        <v>0.43384042902484393</v>
      </c>
      <c r="K25" s="41">
        <f t="shared" ref="K25:L25" si="19">K5/K3</f>
        <v>0.46349279011215377</v>
      </c>
      <c r="L25" s="59">
        <f t="shared" si="19"/>
        <v>0.48883802596099585</v>
      </c>
      <c r="M25" s="41">
        <f t="shared" ref="M25" si="20">M5/M3</f>
        <v>0.47867023650156182</v>
      </c>
      <c r="P25" s="41">
        <f t="shared" ref="P25:Q25" si="21">P5/P3</f>
        <v>0.38274989455925773</v>
      </c>
      <c r="Q25" s="41">
        <f t="shared" si="21"/>
        <v>0.38571148074387823</v>
      </c>
      <c r="R25" s="41">
        <f t="shared" ref="R25:S25" si="22">R5/R3</f>
        <v>0.40938368082053789</v>
      </c>
      <c r="S25" s="41">
        <f t="shared" si="22"/>
        <v>0.44136145024047352</v>
      </c>
      <c r="T25" s="41">
        <f>T5/T3</f>
        <v>0.44808337967826317</v>
      </c>
      <c r="U25" s="41">
        <f>U5/U3</f>
        <v>0.47853514207558756</v>
      </c>
    </row>
    <row r="26" spans="2:22" x14ac:dyDescent="0.2">
      <c r="B26" s="1" t="s">
        <v>98</v>
      </c>
      <c r="I26" s="41">
        <f t="shared" ref="I26:J26" si="23">I11/I3</f>
        <v>7.7112309584635207E-3</v>
      </c>
      <c r="J26" s="59">
        <f t="shared" si="23"/>
        <v>1.473860858779311E-2</v>
      </c>
      <c r="K26" s="41">
        <f t="shared" ref="K26:L26" si="24">K11/K3</f>
        <v>-2.5772487983520356E-2</v>
      </c>
      <c r="L26" s="59">
        <f t="shared" si="24"/>
        <v>4.7312974227127429E-2</v>
      </c>
      <c r="M26" s="41">
        <f t="shared" ref="M26" si="25">M11/M3</f>
        <v>-0.12351628737170905</v>
      </c>
      <c r="P26" s="41">
        <f t="shared" ref="P26:Q26" si="26">P11/P3</f>
        <v>-0.19375790805567267</v>
      </c>
      <c r="Q26" s="41">
        <f t="shared" si="26"/>
        <v>-0.276850579226389</v>
      </c>
      <c r="R26" s="41">
        <f t="shared" ref="R26:S26" si="27">R11/R3</f>
        <v>-0.15943710125461699</v>
      </c>
      <c r="S26" s="41">
        <f t="shared" si="27"/>
        <v>-7.4441097193594444E-2</v>
      </c>
      <c r="T26" s="41">
        <f>T11/T3</f>
        <v>1.1678922325897496E-2</v>
      </c>
      <c r="U26" s="41">
        <f>U11/U3</f>
        <v>1.7603602597740891E-2</v>
      </c>
    </row>
    <row r="27" spans="2:22" x14ac:dyDescent="0.2">
      <c r="B27" s="1" t="s">
        <v>99</v>
      </c>
      <c r="I27" s="41">
        <f t="shared" ref="I27:J27" si="28">I18/I3</f>
        <v>2.6019490964141316E-3</v>
      </c>
      <c r="J27" s="59">
        <f t="shared" si="28"/>
        <v>2.0466236182554227E-2</v>
      </c>
      <c r="K27" s="41">
        <f t="shared" ref="K27:L27" si="29">K18/K3</f>
        <v>-3.4103913939116604E-2</v>
      </c>
      <c r="L27" s="59">
        <f t="shared" si="29"/>
        <v>6.9730983884116193E-2</v>
      </c>
      <c r="M27" s="41">
        <f t="shared" ref="M27" si="30">M18/M3</f>
        <v>-0.1326639892904953</v>
      </c>
      <c r="P27" s="41">
        <f t="shared" ref="P27:Q27" si="31">P18/P3</f>
        <v>-0.20383804301982283</v>
      </c>
      <c r="Q27" s="41">
        <f t="shared" si="31"/>
        <v>-0.27640178396117904</v>
      </c>
      <c r="R27" s="41">
        <f t="shared" ref="R27:S27" si="32">R18/R3</f>
        <v>-0.16215391190207265</v>
      </c>
      <c r="S27" s="41">
        <f t="shared" si="32"/>
        <v>-8.971513133555313E-2</v>
      </c>
      <c r="T27" s="41">
        <f>T18/T3</f>
        <v>2.8074728624688409E-2</v>
      </c>
      <c r="U27" s="41">
        <f>U18/U3</f>
        <v>2.7521911460950111E-2</v>
      </c>
    </row>
    <row r="28" spans="2:22" x14ac:dyDescent="0.2">
      <c r="B28" s="1" t="s">
        <v>100</v>
      </c>
      <c r="I28" s="41">
        <f t="shared" ref="I28:J28" si="33">I17/I16</f>
        <v>-2.2352941176468066</v>
      </c>
      <c r="J28" s="59">
        <f t="shared" si="33"/>
        <v>-0.71036585365853389</v>
      </c>
      <c r="K28" s="41">
        <f t="shared" ref="K28:L28" si="34">K17/K16</f>
        <v>0</v>
      </c>
      <c r="L28" s="59">
        <f t="shared" si="34"/>
        <v>-0.67469879518072184</v>
      </c>
      <c r="M28" s="41">
        <f t="shared" ref="M28" si="35">M17/M16</f>
        <v>-3.0145530145530147E-2</v>
      </c>
      <c r="P28" s="41">
        <f t="shared" ref="P28:Q28" si="36">P17/P16</f>
        <v>-1.6510674098222738E-2</v>
      </c>
      <c r="Q28" s="41">
        <f t="shared" si="36"/>
        <v>2.1060997417047495E-2</v>
      </c>
      <c r="R28" s="41">
        <f t="shared" ref="R28:T28" si="37">R17/R16</f>
        <v>0</v>
      </c>
      <c r="S28" s="41">
        <f t="shared" si="37"/>
        <v>0</v>
      </c>
      <c r="T28" s="41">
        <f t="shared" si="37"/>
        <v>-2.9507246376811809</v>
      </c>
      <c r="U28" s="41">
        <f>U17/U16</f>
        <v>-1.5368782161235051</v>
      </c>
    </row>
    <row r="31" spans="2:22" x14ac:dyDescent="0.2">
      <c r="B31" s="32" t="s">
        <v>74</v>
      </c>
    </row>
    <row r="32" spans="2:22" x14ac:dyDescent="0.2">
      <c r="B32" s="1" t="s">
        <v>75</v>
      </c>
      <c r="L32" s="58">
        <f>U32</f>
        <v>7.8309999999999995</v>
      </c>
      <c r="M32" s="68">
        <f>4.647+3.097</f>
        <v>7.7439999999999998</v>
      </c>
      <c r="P32" s="25">
        <f>4.554+4.214</f>
        <v>8.7680000000000007</v>
      </c>
      <c r="Q32" s="25">
        <f>4.564+3.368</f>
        <v>7.9320000000000004</v>
      </c>
      <c r="R32" s="25">
        <f>4.563+3.19</f>
        <v>7.7530000000000001</v>
      </c>
      <c r="S32" s="25">
        <f>4.564+2.824</f>
        <v>7.3879999999999999</v>
      </c>
      <c r="T32" s="25">
        <f>4.561+3.017</f>
        <v>7.5779999999999994</v>
      </c>
      <c r="U32" s="25">
        <f>4.644+3.187</f>
        <v>7.8309999999999995</v>
      </c>
    </row>
    <row r="33" spans="2:22" x14ac:dyDescent="0.2">
      <c r="B33" s="1" t="s">
        <v>76</v>
      </c>
      <c r="L33" s="58">
        <f>U33</f>
        <v>10.057</v>
      </c>
      <c r="M33" s="68">
        <v>10.477</v>
      </c>
      <c r="P33" s="25">
        <v>5.6829999999999998</v>
      </c>
      <c r="Q33" s="25">
        <v>4.4889999999999999</v>
      </c>
      <c r="R33" s="25">
        <v>3.7829999999999999</v>
      </c>
      <c r="S33" s="25">
        <v>4.165</v>
      </c>
      <c r="T33" s="25">
        <v>6.68</v>
      </c>
      <c r="U33" s="25">
        <v>10.057</v>
      </c>
    </row>
    <row r="34" spans="2:22" s="2" customFormat="1" x14ac:dyDescent="0.2">
      <c r="B34" s="2" t="s">
        <v>77</v>
      </c>
      <c r="D34" s="29"/>
      <c r="F34" s="29"/>
      <c r="H34" s="29"/>
      <c r="J34" s="29"/>
      <c r="L34" s="57">
        <f>U34</f>
        <v>0</v>
      </c>
      <c r="M34" s="67">
        <v>0</v>
      </c>
      <c r="N34" s="29"/>
      <c r="P34" s="24">
        <v>0</v>
      </c>
      <c r="Q34" s="24">
        <v>1.615</v>
      </c>
      <c r="R34" s="24">
        <v>1.696</v>
      </c>
      <c r="S34" s="24">
        <v>1.73</v>
      </c>
      <c r="T34" s="24">
        <v>1.839</v>
      </c>
      <c r="U34" s="24">
        <v>0</v>
      </c>
      <c r="V34" s="47"/>
    </row>
    <row r="35" spans="2:22" x14ac:dyDescent="0.2">
      <c r="B35" s="1" t="s">
        <v>78</v>
      </c>
      <c r="L35" s="58">
        <f t="shared" ref="L35:L39" si="38">U35</f>
        <v>2.5840000000000001</v>
      </c>
      <c r="M35" s="68">
        <v>2.484</v>
      </c>
      <c r="P35" s="25">
        <v>0</v>
      </c>
      <c r="Q35" s="25">
        <v>0</v>
      </c>
      <c r="R35" s="25">
        <v>0</v>
      </c>
      <c r="S35" s="25">
        <v>2.573</v>
      </c>
      <c r="T35" s="25">
        <v>2.69</v>
      </c>
      <c r="U35" s="25">
        <v>2.5840000000000001</v>
      </c>
    </row>
    <row r="36" spans="2:22" x14ac:dyDescent="0.2">
      <c r="B36" s="1" t="s">
        <v>79</v>
      </c>
      <c r="L36" s="58">
        <f t="shared" si="38"/>
        <v>3.4249999999999998</v>
      </c>
      <c r="M36" s="68">
        <v>3.423</v>
      </c>
      <c r="P36" s="25">
        <v>1.974</v>
      </c>
      <c r="Q36" s="25">
        <v>2.0299999999999998</v>
      </c>
      <c r="R36" s="25">
        <v>2.0299999999999998</v>
      </c>
      <c r="S36" s="25">
        <v>2.0299999999999998</v>
      </c>
      <c r="T36" s="25">
        <v>2.956</v>
      </c>
      <c r="U36" s="25">
        <v>3.4249999999999998</v>
      </c>
    </row>
    <row r="37" spans="2:22" x14ac:dyDescent="0.2">
      <c r="B37" s="1" t="s">
        <v>80</v>
      </c>
      <c r="L37" s="58">
        <f t="shared" ref="L37" si="39">SUM(L32:L36)</f>
        <v>23.896999999999998</v>
      </c>
      <c r="M37" s="25">
        <f t="shared" ref="M37" si="40">SUM(M32:M36)</f>
        <v>24.128</v>
      </c>
      <c r="P37" s="25">
        <f t="shared" ref="P37:U37" si="41">SUM(P32:P36)</f>
        <v>16.425000000000001</v>
      </c>
      <c r="Q37" s="25">
        <f t="shared" si="41"/>
        <v>16.065999999999999</v>
      </c>
      <c r="R37" s="25">
        <f t="shared" si="41"/>
        <v>15.261999999999999</v>
      </c>
      <c r="S37" s="25">
        <f t="shared" si="41"/>
        <v>17.886000000000003</v>
      </c>
      <c r="T37" s="25">
        <f t="shared" si="41"/>
        <v>21.742999999999999</v>
      </c>
      <c r="U37" s="25">
        <f t="shared" si="41"/>
        <v>23.896999999999998</v>
      </c>
    </row>
    <row r="38" spans="2:22" s="2" customFormat="1" x14ac:dyDescent="0.2">
      <c r="B38" s="2" t="s">
        <v>81</v>
      </c>
      <c r="D38" s="29"/>
      <c r="F38" s="29"/>
      <c r="H38" s="29"/>
      <c r="J38" s="29"/>
      <c r="L38" s="57">
        <f>U38</f>
        <v>16.462</v>
      </c>
      <c r="M38" s="67">
        <v>22.547999999999998</v>
      </c>
      <c r="N38" s="29"/>
      <c r="P38" s="24">
        <v>9.68</v>
      </c>
      <c r="Q38" s="24">
        <v>10.029999999999999</v>
      </c>
      <c r="R38" s="24">
        <v>10.86</v>
      </c>
      <c r="S38" s="24">
        <v>14.234999999999999</v>
      </c>
      <c r="T38" s="24">
        <v>15.151999999999999</v>
      </c>
      <c r="U38" s="24">
        <v>16.462</v>
      </c>
      <c r="V38" s="47"/>
    </row>
    <row r="39" spans="2:22" x14ac:dyDescent="0.2">
      <c r="B39" s="1" t="s">
        <v>82</v>
      </c>
      <c r="L39" s="58">
        <f t="shared" si="38"/>
        <v>8.7859999999999996</v>
      </c>
      <c r="M39" s="68">
        <v>9.1539999999999999</v>
      </c>
      <c r="P39" s="25">
        <v>9.2460000000000004</v>
      </c>
      <c r="Q39" s="25">
        <v>5.9489999999999998</v>
      </c>
      <c r="R39" s="25">
        <v>7.18</v>
      </c>
      <c r="S39" s="25">
        <v>6.5250000000000004</v>
      </c>
      <c r="T39" s="25">
        <v>7.2469999999999999</v>
      </c>
      <c r="U39" s="25">
        <v>8.7859999999999996</v>
      </c>
    </row>
    <row r="40" spans="2:22" s="2" customFormat="1" x14ac:dyDescent="0.2">
      <c r="B40" s="2" t="s">
        <v>93</v>
      </c>
      <c r="D40" s="29"/>
      <c r="F40" s="29"/>
      <c r="H40" s="29"/>
      <c r="J40" s="29"/>
      <c r="L40" s="57">
        <f>U40</f>
        <v>0.504</v>
      </c>
      <c r="M40" s="67">
        <v>1.8080000000000001</v>
      </c>
      <c r="N40" s="29"/>
      <c r="P40" s="24">
        <v>0.12</v>
      </c>
      <c r="Q40" s="24">
        <v>0</v>
      </c>
      <c r="R40" s="24">
        <v>2.5000000000000001E-2</v>
      </c>
      <c r="S40" s="24">
        <v>0.11600000000000001</v>
      </c>
      <c r="T40" s="24">
        <v>3.2000000000000001E-2</v>
      </c>
      <c r="U40" s="24">
        <v>0.504</v>
      </c>
      <c r="V40" s="47"/>
    </row>
    <row r="41" spans="2:22" s="2" customFormat="1" x14ac:dyDescent="0.2">
      <c r="B41" s="2" t="s">
        <v>6</v>
      </c>
      <c r="D41" s="29"/>
      <c r="F41" s="29"/>
      <c r="H41" s="29"/>
      <c r="J41" s="29"/>
      <c r="L41" s="57">
        <f>U41</f>
        <v>4.1390000000000002</v>
      </c>
      <c r="M41" s="67">
        <v>1.8740000000000001</v>
      </c>
      <c r="N41" s="29"/>
      <c r="P41" s="24">
        <f>1.58+0.05</f>
        <v>1.6300000000000001</v>
      </c>
      <c r="Q41" s="24">
        <v>3.8780000000000001</v>
      </c>
      <c r="R41" s="24">
        <v>0.70399999999999996</v>
      </c>
      <c r="S41" s="24">
        <v>5.9210000000000003</v>
      </c>
      <c r="T41" s="24">
        <v>4.6849999999999996</v>
      </c>
      <c r="U41" s="24">
        <v>4.1390000000000002</v>
      </c>
      <c r="V41" s="47"/>
    </row>
    <row r="42" spans="2:22" x14ac:dyDescent="0.2">
      <c r="B42" s="1" t="s">
        <v>83</v>
      </c>
      <c r="L42" s="58">
        <f t="shared" ref="L42" si="42">L37+SUM(L38:L41)</f>
        <v>53.787999999999997</v>
      </c>
      <c r="M42" s="25">
        <f t="shared" ref="M42" si="43">M37+SUM(M38:M41)</f>
        <v>59.512</v>
      </c>
      <c r="P42" s="25">
        <f t="shared" ref="P42:U42" si="44">P37+SUM(P38:P41)</f>
        <v>37.100999999999999</v>
      </c>
      <c r="Q42" s="25">
        <f t="shared" si="44"/>
        <v>35.923000000000002</v>
      </c>
      <c r="R42" s="25">
        <f t="shared" si="44"/>
        <v>34.030999999999999</v>
      </c>
      <c r="S42" s="25">
        <f t="shared" si="44"/>
        <v>44.683</v>
      </c>
      <c r="T42" s="25">
        <f t="shared" si="44"/>
        <v>48.858999999999995</v>
      </c>
      <c r="U42" s="25">
        <f t="shared" si="44"/>
        <v>53.787999999999997</v>
      </c>
    </row>
    <row r="43" spans="2:22" x14ac:dyDescent="0.2">
      <c r="L43" s="58"/>
      <c r="M43" s="68"/>
      <c r="P43" s="25"/>
      <c r="Q43" s="25"/>
      <c r="R43" s="25"/>
      <c r="S43" s="25"/>
      <c r="T43" s="25"/>
      <c r="U43" s="25"/>
    </row>
    <row r="44" spans="2:22" s="2" customFormat="1" x14ac:dyDescent="0.2">
      <c r="B44" s="2" t="s">
        <v>84</v>
      </c>
      <c r="D44" s="29"/>
      <c r="F44" s="29"/>
      <c r="H44" s="29"/>
      <c r="J44" s="29"/>
      <c r="L44" s="57">
        <f>U44</f>
        <v>0.05</v>
      </c>
      <c r="M44" s="67">
        <v>5.5579999999999998</v>
      </c>
      <c r="N44" s="29"/>
      <c r="P44" s="24">
        <v>8.2000000000000003E-2</v>
      </c>
      <c r="Q44" s="24">
        <v>0</v>
      </c>
      <c r="R44" s="24">
        <v>1.893</v>
      </c>
      <c r="S44" s="24">
        <v>0</v>
      </c>
      <c r="T44" s="24">
        <v>0</v>
      </c>
      <c r="U44" s="24">
        <v>0.05</v>
      </c>
      <c r="V44" s="47"/>
    </row>
    <row r="45" spans="2:22" x14ac:dyDescent="0.2">
      <c r="B45" s="1" t="s">
        <v>85</v>
      </c>
      <c r="L45" s="58">
        <f t="shared" ref="L45:L53" si="45">U45</f>
        <v>7.3719999999999999</v>
      </c>
      <c r="M45" s="68">
        <v>8.4540000000000006</v>
      </c>
      <c r="P45" s="25">
        <v>6.6639999999999997</v>
      </c>
      <c r="Q45" s="25">
        <v>4.3120000000000003</v>
      </c>
      <c r="R45" s="25">
        <v>5.4720000000000004</v>
      </c>
      <c r="S45" s="25">
        <v>4.8890000000000002</v>
      </c>
      <c r="T45" s="25">
        <v>7.1310000000000002</v>
      </c>
      <c r="U45" s="25">
        <v>7.3719999999999999</v>
      </c>
    </row>
    <row r="46" spans="2:22" x14ac:dyDescent="0.2">
      <c r="B46" s="1" t="s">
        <v>86</v>
      </c>
      <c r="L46" s="58">
        <f t="shared" si="45"/>
        <v>0.433</v>
      </c>
      <c r="M46" s="68">
        <v>0.45</v>
      </c>
      <c r="P46" s="1">
        <v>0</v>
      </c>
      <c r="Q46" s="1">
        <v>0</v>
      </c>
      <c r="R46" s="25">
        <v>0</v>
      </c>
      <c r="S46" s="25">
        <v>0.38400000000000001</v>
      </c>
      <c r="T46" s="25">
        <v>0.36499999999999999</v>
      </c>
      <c r="U46" s="25">
        <v>0.433</v>
      </c>
    </row>
    <row r="47" spans="2:22" s="2" customFormat="1" x14ac:dyDescent="0.2">
      <c r="B47" s="2" t="s">
        <v>93</v>
      </c>
      <c r="D47" s="29"/>
      <c r="F47" s="29"/>
      <c r="H47" s="29"/>
      <c r="J47" s="29"/>
      <c r="L47" s="57">
        <f>U47</f>
        <v>0</v>
      </c>
      <c r="M47" s="67">
        <v>0</v>
      </c>
      <c r="N47" s="29"/>
      <c r="P47" s="25">
        <v>0.19</v>
      </c>
      <c r="Q47" s="25">
        <v>0.42299999999999999</v>
      </c>
      <c r="R47" s="24">
        <v>0.156</v>
      </c>
      <c r="S47" s="24">
        <v>0</v>
      </c>
      <c r="T47" s="24">
        <v>0.51300000000000001</v>
      </c>
      <c r="U47" s="24">
        <v>0</v>
      </c>
      <c r="V47" s="47"/>
    </row>
    <row r="48" spans="2:22" x14ac:dyDescent="0.2">
      <c r="B48" s="1" t="s">
        <v>113</v>
      </c>
      <c r="L48" s="58">
        <f t="shared" si="45"/>
        <v>0</v>
      </c>
      <c r="M48" s="68">
        <v>0</v>
      </c>
      <c r="P48" s="25">
        <v>0.19600000000000001</v>
      </c>
      <c r="Q48" s="25">
        <v>0.17399999999999999</v>
      </c>
      <c r="R48" s="25">
        <v>0</v>
      </c>
      <c r="S48" s="25">
        <v>0</v>
      </c>
      <c r="T48" s="25">
        <v>0</v>
      </c>
      <c r="U48" s="25">
        <v>0</v>
      </c>
    </row>
    <row r="49" spans="2:22" x14ac:dyDescent="0.2">
      <c r="B49" s="1" t="s">
        <v>115</v>
      </c>
      <c r="L49" s="58">
        <f t="shared" si="45"/>
        <v>0</v>
      </c>
      <c r="M49" s="68">
        <v>0</v>
      </c>
      <c r="P49" s="25">
        <v>0.21199999999999999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</row>
    <row r="50" spans="2:22" x14ac:dyDescent="0.2">
      <c r="B50" s="1" t="s">
        <v>87</v>
      </c>
      <c r="L50" s="58">
        <f t="shared" si="45"/>
        <v>7.8549999999999995</v>
      </c>
      <c r="M50" s="25">
        <f>SUM(M44:M49)</f>
        <v>14.462</v>
      </c>
      <c r="P50" s="25">
        <f>SUM(P44:P49)</f>
        <v>7.3439999999999994</v>
      </c>
      <c r="Q50" s="25">
        <f>SUM(Q44:Q49)</f>
        <v>4.9090000000000007</v>
      </c>
      <c r="R50" s="25">
        <f t="shared" ref="R50:U50" si="46">SUM(R44:R49)</f>
        <v>7.5209999999999999</v>
      </c>
      <c r="S50" s="25">
        <f t="shared" si="46"/>
        <v>5.2730000000000006</v>
      </c>
      <c r="T50" s="25">
        <f t="shared" si="46"/>
        <v>8.0090000000000003</v>
      </c>
      <c r="U50" s="25">
        <f t="shared" si="46"/>
        <v>7.8549999999999995</v>
      </c>
    </row>
    <row r="51" spans="2:22" s="2" customFormat="1" x14ac:dyDescent="0.2">
      <c r="B51" s="2" t="s">
        <v>84</v>
      </c>
      <c r="D51" s="29"/>
      <c r="F51" s="29"/>
      <c r="H51" s="29"/>
      <c r="J51" s="29"/>
      <c r="L51" s="57">
        <f>U51</f>
        <v>0.27700000000000002</v>
      </c>
      <c r="M51" s="67">
        <v>1.252</v>
      </c>
      <c r="N51" s="29"/>
      <c r="P51" s="24">
        <v>0</v>
      </c>
      <c r="Q51" s="24">
        <v>0</v>
      </c>
      <c r="R51" s="24">
        <v>0.56100000000000005</v>
      </c>
      <c r="S51" s="24">
        <v>0</v>
      </c>
      <c r="T51" s="24">
        <v>0</v>
      </c>
      <c r="U51" s="24">
        <v>0.27700000000000002</v>
      </c>
      <c r="V51" s="47"/>
    </row>
    <row r="52" spans="2:22" x14ac:dyDescent="0.2">
      <c r="B52" s="1" t="s">
        <v>86</v>
      </c>
      <c r="L52" s="58">
        <f t="shared" si="45"/>
        <v>2.3130000000000002</v>
      </c>
      <c r="M52" s="68">
        <v>2.3130000000000002</v>
      </c>
      <c r="P52" s="25">
        <v>0</v>
      </c>
      <c r="Q52" s="25">
        <v>0</v>
      </c>
      <c r="R52" s="25">
        <v>0</v>
      </c>
      <c r="S52" s="25">
        <v>2.2549999999999999</v>
      </c>
      <c r="T52" s="25">
        <v>2.4430000000000001</v>
      </c>
      <c r="U52" s="25">
        <v>2.3130000000000002</v>
      </c>
    </row>
    <row r="53" spans="2:22" x14ac:dyDescent="0.2">
      <c r="B53" s="1" t="s">
        <v>79</v>
      </c>
      <c r="L53" s="58">
        <f t="shared" si="45"/>
        <v>0.23300000000000001</v>
      </c>
      <c r="M53" s="68">
        <v>0.23300000000000001</v>
      </c>
      <c r="P53" s="25">
        <v>9.4E-2</v>
      </c>
      <c r="Q53" s="25">
        <v>0.15</v>
      </c>
      <c r="R53" s="25">
        <v>0.15</v>
      </c>
      <c r="S53" s="25">
        <v>0.15</v>
      </c>
      <c r="T53" s="25">
        <v>0.15</v>
      </c>
      <c r="U53" s="25">
        <v>0.23300000000000001</v>
      </c>
    </row>
    <row r="54" spans="2:22" x14ac:dyDescent="0.2">
      <c r="B54" s="1" t="s">
        <v>88</v>
      </c>
      <c r="L54" s="58">
        <f t="shared" ref="L54:M54" si="47">L50+SUM(L51:L53)</f>
        <v>10.678000000000001</v>
      </c>
      <c r="M54" s="25">
        <f t="shared" si="47"/>
        <v>18.260000000000002</v>
      </c>
      <c r="P54" s="25">
        <f t="shared" ref="P54:Q54" si="48">P50+SUM(P51:P53)</f>
        <v>7.4379999999999997</v>
      </c>
      <c r="Q54" s="25">
        <f t="shared" si="48"/>
        <v>5.0590000000000011</v>
      </c>
      <c r="R54" s="25">
        <f>R50+SUM(R51:R53)</f>
        <v>8.2319999999999993</v>
      </c>
      <c r="S54" s="25">
        <f>S50+SUM(S51:S53)</f>
        <v>7.6780000000000008</v>
      </c>
      <c r="T54" s="25">
        <f>T50+SUM(T51:T53)</f>
        <v>10.602</v>
      </c>
      <c r="U54" s="25">
        <f>U50+SUM(U51:U53)</f>
        <v>10.678000000000001</v>
      </c>
    </row>
    <row r="55" spans="2:22" x14ac:dyDescent="0.2">
      <c r="M55" s="68"/>
      <c r="R55" s="25"/>
      <c r="T55" s="25"/>
      <c r="U55" s="25"/>
    </row>
    <row r="56" spans="2:22" x14ac:dyDescent="0.2">
      <c r="B56" s="1" t="s">
        <v>89</v>
      </c>
      <c r="L56" s="58">
        <f>U56</f>
        <v>43.11</v>
      </c>
      <c r="M56" s="68">
        <v>41.351999999999997</v>
      </c>
      <c r="P56" s="25">
        <v>29.663</v>
      </c>
      <c r="Q56" s="25">
        <v>30.864000000000001</v>
      </c>
      <c r="R56" s="25">
        <v>25.798999999999999</v>
      </c>
      <c r="S56" s="25">
        <v>37.005000000000003</v>
      </c>
      <c r="T56" s="25">
        <v>38.256999999999998</v>
      </c>
      <c r="U56" s="25">
        <v>43.11</v>
      </c>
    </row>
    <row r="57" spans="2:22" x14ac:dyDescent="0.2">
      <c r="B57" s="1" t="s">
        <v>90</v>
      </c>
      <c r="L57" s="58">
        <f>L56+L54</f>
        <v>53.787999999999997</v>
      </c>
      <c r="M57" s="25">
        <f t="shared" ref="M57" si="49">M56+M54</f>
        <v>59.611999999999995</v>
      </c>
      <c r="P57" s="25">
        <f t="shared" ref="P57:Q57" si="50">P56+P54</f>
        <v>37.100999999999999</v>
      </c>
      <c r="Q57" s="25">
        <f t="shared" si="50"/>
        <v>35.923000000000002</v>
      </c>
      <c r="R57" s="25">
        <f>R56+R54</f>
        <v>34.030999999999999</v>
      </c>
      <c r="S57" s="25">
        <f>S56+S54</f>
        <v>44.683000000000007</v>
      </c>
      <c r="T57" s="25">
        <f>T56+T54</f>
        <v>48.858999999999995</v>
      </c>
      <c r="U57" s="25">
        <f>U56+U54</f>
        <v>53.787999999999997</v>
      </c>
    </row>
    <row r="59" spans="2:22" x14ac:dyDescent="0.2">
      <c r="B59" s="1" t="s">
        <v>91</v>
      </c>
      <c r="L59" s="58">
        <f>L42-L54</f>
        <v>43.11</v>
      </c>
      <c r="M59" s="25">
        <f t="shared" ref="M59" si="51">M42-M54</f>
        <v>41.251999999999995</v>
      </c>
      <c r="P59" s="25">
        <f t="shared" ref="P59" si="52">P42-P54</f>
        <v>29.663</v>
      </c>
      <c r="Q59" s="25">
        <f t="shared" ref="Q59" si="53">Q42-Q54</f>
        <v>30.864000000000001</v>
      </c>
      <c r="R59" s="25">
        <f t="shared" ref="R59:T59" si="54">R42-R54</f>
        <v>25.798999999999999</v>
      </c>
      <c r="S59" s="25">
        <f t="shared" si="54"/>
        <v>37.004999999999995</v>
      </c>
      <c r="T59" s="25">
        <f t="shared" si="54"/>
        <v>38.256999999999991</v>
      </c>
      <c r="U59" s="25">
        <f>U42-U54</f>
        <v>43.11</v>
      </c>
    </row>
    <row r="60" spans="2:22" x14ac:dyDescent="0.2">
      <c r="B60" s="1" t="s">
        <v>92</v>
      </c>
      <c r="L60" s="30">
        <f>L59/L20</f>
        <v>0.25825350897687038</v>
      </c>
      <c r="M60" s="25">
        <f t="shared" ref="M60" si="55">M59/M20</f>
        <v>0.24286773263849248</v>
      </c>
      <c r="P60" s="25">
        <f t="shared" ref="P60" si="56">P59/P20</f>
        <v>0.38834049015500627</v>
      </c>
      <c r="Q60" s="25">
        <f t="shared" ref="Q60" si="57">Q59/Q20</f>
        <v>0.31724364772633834</v>
      </c>
      <c r="R60" s="25">
        <f>R59/R20</f>
        <v>0.20596195144538204</v>
      </c>
      <c r="S60" s="25">
        <f>S59/S20</f>
        <v>0.29092896003018959</v>
      </c>
      <c r="T60" s="25">
        <f>T59/T20</f>
        <v>0.22918126868309274</v>
      </c>
      <c r="U60" s="25">
        <f>U59/U20</f>
        <v>0.25825350897687038</v>
      </c>
    </row>
    <row r="62" spans="2:22" s="38" customFormat="1" x14ac:dyDescent="0.2">
      <c r="B62" s="38" t="s">
        <v>103</v>
      </c>
      <c r="D62" s="39"/>
      <c r="F62" s="39"/>
      <c r="H62" s="39"/>
      <c r="J62" s="39"/>
      <c r="L62" s="39"/>
      <c r="M62" s="64"/>
      <c r="N62" s="39"/>
      <c r="P62" s="18" t="s">
        <v>101</v>
      </c>
      <c r="Q62" s="42">
        <f t="shared" ref="Q62" si="58">Q38/P38-1</f>
        <v>3.6157024793388448E-2</v>
      </c>
      <c r="R62" s="42">
        <f t="shared" ref="R62" si="59">R38/Q38-1</f>
        <v>8.2751744765702906E-2</v>
      </c>
      <c r="S62" s="42">
        <f t="shared" ref="S62:T62" si="60">S38/R38-1</f>
        <v>0.31077348066298338</v>
      </c>
      <c r="T62" s="42">
        <f t="shared" si="60"/>
        <v>6.4418686336494613E-2</v>
      </c>
      <c r="U62" s="42">
        <f>U38/T38-1</f>
        <v>8.6457233368532282E-2</v>
      </c>
      <c r="V62" s="50"/>
    </row>
    <row r="63" spans="2:22" s="38" customFormat="1" x14ac:dyDescent="0.2">
      <c r="B63" s="38" t="s">
        <v>104</v>
      </c>
      <c r="D63" s="39"/>
      <c r="F63" s="39"/>
      <c r="H63" s="39"/>
      <c r="J63" s="39"/>
      <c r="L63" s="39"/>
      <c r="M63" s="73">
        <f>M38/L38-1</f>
        <v>0.36969991495565546</v>
      </c>
      <c r="N63" s="39"/>
      <c r="P63" s="18" t="s">
        <v>101</v>
      </c>
      <c r="Q63" s="43" t="s">
        <v>101</v>
      </c>
      <c r="R63" s="43" t="s">
        <v>101</v>
      </c>
      <c r="S63" s="43" t="s">
        <v>101</v>
      </c>
      <c r="T63" s="43" t="s">
        <v>101</v>
      </c>
      <c r="U63" s="43" t="s">
        <v>101</v>
      </c>
      <c r="V63" s="50"/>
    </row>
    <row r="65" spans="2:22" s="38" customFormat="1" x14ac:dyDescent="0.2">
      <c r="B65" s="38" t="s">
        <v>6</v>
      </c>
      <c r="D65" s="39"/>
      <c r="F65" s="39"/>
      <c r="H65" s="39"/>
      <c r="J65" s="39"/>
      <c r="L65" s="69">
        <f t="shared" ref="L65:M65" si="61">L41+L40+L34</f>
        <v>4.6430000000000007</v>
      </c>
      <c r="M65" s="40">
        <f t="shared" si="61"/>
        <v>3.6820000000000004</v>
      </c>
      <c r="N65" s="39"/>
      <c r="P65" s="40">
        <f t="shared" ref="P65:Q65" si="62">P41+P40+P34</f>
        <v>1.75</v>
      </c>
      <c r="Q65" s="40">
        <f t="shared" si="62"/>
        <v>5.4930000000000003</v>
      </c>
      <c r="R65" s="40">
        <f t="shared" ref="R65:T65" si="63">R41+R40+R34</f>
        <v>2.4249999999999998</v>
      </c>
      <c r="S65" s="40">
        <f t="shared" si="63"/>
        <v>7.7669999999999995</v>
      </c>
      <c r="T65" s="40">
        <f t="shared" si="63"/>
        <v>6.5559999999999992</v>
      </c>
      <c r="U65" s="40">
        <f>U41+U40+U34</f>
        <v>4.6430000000000007</v>
      </c>
      <c r="V65" s="50"/>
    </row>
    <row r="66" spans="2:22" s="38" customFormat="1" x14ac:dyDescent="0.2">
      <c r="B66" s="38" t="s">
        <v>7</v>
      </c>
      <c r="D66" s="39"/>
      <c r="F66" s="39"/>
      <c r="H66" s="39"/>
      <c r="J66" s="39"/>
      <c r="L66" s="69">
        <f t="shared" ref="L66:M66" si="64">L44+L47+L51</f>
        <v>0.32700000000000001</v>
      </c>
      <c r="M66" s="40">
        <f t="shared" si="64"/>
        <v>6.81</v>
      </c>
      <c r="N66" s="39"/>
      <c r="P66" s="40">
        <f t="shared" ref="P66:Q66" si="65">P44+P47+P51</f>
        <v>0.27200000000000002</v>
      </c>
      <c r="Q66" s="40">
        <f t="shared" si="65"/>
        <v>0.42299999999999999</v>
      </c>
      <c r="R66" s="40">
        <f t="shared" ref="R66:T66" si="66">R44+R47+R51</f>
        <v>2.61</v>
      </c>
      <c r="S66" s="40">
        <f t="shared" si="66"/>
        <v>0</v>
      </c>
      <c r="T66" s="40">
        <f t="shared" si="66"/>
        <v>0.51300000000000001</v>
      </c>
      <c r="U66" s="40">
        <f>U44+U47+U51</f>
        <v>0.32700000000000001</v>
      </c>
      <c r="V66" s="50"/>
    </row>
    <row r="67" spans="2:22" x14ac:dyDescent="0.2">
      <c r="B67" s="1" t="s">
        <v>8</v>
      </c>
      <c r="L67" s="58">
        <f t="shared" ref="L67:M67" si="67">L65-L66</f>
        <v>4.3160000000000007</v>
      </c>
      <c r="M67" s="25">
        <f t="shared" si="67"/>
        <v>-3.1279999999999992</v>
      </c>
      <c r="P67" s="25">
        <f t="shared" ref="P67:Q67" si="68">P65-P66</f>
        <v>1.478</v>
      </c>
      <c r="Q67" s="25">
        <f t="shared" si="68"/>
        <v>5.07</v>
      </c>
      <c r="R67" s="25">
        <f t="shared" ref="R67:T67" si="69">R65-R66</f>
        <v>-0.18500000000000005</v>
      </c>
      <c r="S67" s="25">
        <f t="shared" si="69"/>
        <v>7.7669999999999995</v>
      </c>
      <c r="T67" s="25">
        <f t="shared" si="69"/>
        <v>6.0429999999999993</v>
      </c>
      <c r="U67" s="25">
        <f>U65-U66</f>
        <v>4.3160000000000007</v>
      </c>
    </row>
    <row r="69" spans="2:22" x14ac:dyDescent="0.2">
      <c r="B69" s="1" t="s">
        <v>105</v>
      </c>
      <c r="L69" s="70">
        <f>U69</f>
        <v>0.32500000000000001</v>
      </c>
      <c r="M69" s="63">
        <v>0.28499999999999998</v>
      </c>
      <c r="P69" s="52">
        <v>0.31359999999999999</v>
      </c>
      <c r="Q69" s="52">
        <v>0.24099999999999999</v>
      </c>
      <c r="R69" s="52">
        <v>0.36299999999999999</v>
      </c>
      <c r="S69" s="52">
        <v>0.32500000000000001</v>
      </c>
      <c r="T69" s="52">
        <v>0.44</v>
      </c>
      <c r="U69" s="52">
        <v>0.32500000000000001</v>
      </c>
    </row>
    <row r="70" spans="2:22" x14ac:dyDescent="0.2">
      <c r="B70" s="1" t="s">
        <v>106</v>
      </c>
      <c r="L70" s="58">
        <f>L69*L20</f>
        <v>54.251925</v>
      </c>
      <c r="M70" s="25">
        <f t="shared" ref="M70" si="70">M69*M20</f>
        <v>48.408324449999995</v>
      </c>
      <c r="P70" s="25">
        <f t="shared" ref="P70:T70" si="71">P69*P20</f>
        <v>23.954022399999999</v>
      </c>
      <c r="Q70" s="25">
        <f t="shared" si="71"/>
        <v>23.446407999999998</v>
      </c>
      <c r="R70" s="25">
        <f t="shared" si="71"/>
        <v>45.469742999999994</v>
      </c>
      <c r="S70" s="25">
        <f t="shared" si="71"/>
        <v>41.338700000000003</v>
      </c>
      <c r="T70" s="25">
        <f t="shared" si="71"/>
        <v>73.448760000000007</v>
      </c>
      <c r="U70" s="25">
        <f>U69*U20</f>
        <v>54.251925</v>
      </c>
    </row>
    <row r="71" spans="2:22" x14ac:dyDescent="0.2">
      <c r="B71" s="1" t="s">
        <v>9</v>
      </c>
      <c r="L71" s="58">
        <f>L70-L67</f>
        <v>49.935924999999997</v>
      </c>
      <c r="M71" s="25">
        <f t="shared" ref="M71" si="72">M70-M67</f>
        <v>51.536324449999995</v>
      </c>
      <c r="P71" s="25">
        <f t="shared" ref="P71:T71" si="73">P70-P67</f>
        <v>22.476022399999998</v>
      </c>
      <c r="Q71" s="25">
        <f t="shared" si="73"/>
        <v>18.376407999999998</v>
      </c>
      <c r="R71" s="25">
        <f t="shared" si="73"/>
        <v>45.654742999999996</v>
      </c>
      <c r="S71" s="25">
        <f t="shared" si="73"/>
        <v>33.571700000000007</v>
      </c>
      <c r="T71" s="25">
        <f t="shared" si="73"/>
        <v>67.405760000000015</v>
      </c>
      <c r="U71" s="25">
        <f>U70-U67</f>
        <v>49.935924999999997</v>
      </c>
    </row>
    <row r="73" spans="2:22" x14ac:dyDescent="0.2">
      <c r="B73" s="1" t="s">
        <v>117</v>
      </c>
      <c r="L73" s="75">
        <f>L70/SUM(K3:L3)</f>
        <v>1.0095447440406409</v>
      </c>
      <c r="M73" s="74">
        <f>M70/SUM(L3:M3)</f>
        <v>0.89143202066146132</v>
      </c>
      <c r="P73" s="56">
        <f t="shared" ref="P73:T73" si="74">P70/P3</f>
        <v>0.50514598059890337</v>
      </c>
      <c r="Q73" s="56">
        <f t="shared" si="74"/>
        <v>0.65766480603629618</v>
      </c>
      <c r="R73" s="56">
        <f t="shared" si="74"/>
        <v>1.3880076620165449</v>
      </c>
      <c r="S73" s="56">
        <f t="shared" si="74"/>
        <v>1.092402621425929</v>
      </c>
      <c r="T73" s="56">
        <f t="shared" si="74"/>
        <v>1.5128789470431936</v>
      </c>
      <c r="U73" s="56">
        <f>U70/U3</f>
        <v>1.0095447440406409</v>
      </c>
    </row>
    <row r="74" spans="2:22" x14ac:dyDescent="0.2">
      <c r="B74" s="1" t="s">
        <v>109</v>
      </c>
      <c r="L74" s="75">
        <f>L69/SUM(K18:L18)</f>
        <v>0.2197430696416498</v>
      </c>
      <c r="M74" s="74">
        <f>M69/SUM(L18:M18)</f>
        <v>-0.38050734312416662</v>
      </c>
      <c r="P74" s="56">
        <f>P69/P19</f>
        <v>-2.4781732257397064</v>
      </c>
      <c r="Q74" s="56">
        <f t="shared" ref="Q74:U74" si="75">Q69/Q19</f>
        <v>-2.3793797442662887</v>
      </c>
      <c r="R74" s="56">
        <f t="shared" si="75"/>
        <v>-8.5598160768072322</v>
      </c>
      <c r="S74" s="56">
        <f t="shared" si="75"/>
        <v>-12.176347569955812</v>
      </c>
      <c r="T74" s="56">
        <f t="shared" si="75"/>
        <v>53.887571533382342</v>
      </c>
      <c r="U74" s="56">
        <f t="shared" si="75"/>
        <v>36.681490872211008</v>
      </c>
    </row>
    <row r="75" spans="2:22" x14ac:dyDescent="0.2">
      <c r="B75" s="1" t="s">
        <v>94</v>
      </c>
      <c r="L75" s="75">
        <f>L69/L60</f>
        <v>1.2584533750869868</v>
      </c>
      <c r="M75" s="74">
        <f>M69/M60</f>
        <v>1.1734782422670416</v>
      </c>
      <c r="P75" s="56">
        <f t="shared" ref="P75:T75" si="76">P69/P60</f>
        <v>0.8075387654653946</v>
      </c>
      <c r="Q75" s="56">
        <f t="shared" si="76"/>
        <v>0.75966848107827878</v>
      </c>
      <c r="R75" s="56">
        <f t="shared" si="76"/>
        <v>1.7624614519942634</v>
      </c>
      <c r="S75" s="56">
        <f t="shared" si="76"/>
        <v>1.1171112011890287</v>
      </c>
      <c r="T75" s="56">
        <f t="shared" si="76"/>
        <v>1.919877669446115</v>
      </c>
      <c r="U75" s="56">
        <f>U69/U60</f>
        <v>1.2584533750869868</v>
      </c>
    </row>
    <row r="77" spans="2:22" x14ac:dyDescent="0.2">
      <c r="B77" s="1" t="s">
        <v>116</v>
      </c>
      <c r="L77" s="59">
        <f>L38/SUM(K3:L3)</f>
        <v>0.30633245873574128</v>
      </c>
      <c r="M77" s="76">
        <f>M38/SUM(L3:M3)</f>
        <v>0.41521803182086031</v>
      </c>
      <c r="P77" s="41">
        <f t="shared" ref="P77:T77" si="77">P38/P3</f>
        <v>0.20413327709827075</v>
      </c>
      <c r="Q77" s="41">
        <f t="shared" si="77"/>
        <v>0.28133853187848862</v>
      </c>
      <c r="R77" s="41">
        <f t="shared" si="77"/>
        <v>0.33151195091425256</v>
      </c>
      <c r="S77" s="41">
        <f t="shared" si="77"/>
        <v>0.37616933565879179</v>
      </c>
      <c r="T77" s="41">
        <f t="shared" si="77"/>
        <v>0.31209705658200992</v>
      </c>
      <c r="U77" s="41">
        <f>U38/U3</f>
        <v>0.30633245873574128</v>
      </c>
    </row>
    <row r="81" spans="2:22" x14ac:dyDescent="0.2">
      <c r="B81" s="32" t="s">
        <v>131</v>
      </c>
    </row>
    <row r="82" spans="2:22" x14ac:dyDescent="0.2">
      <c r="B82" s="1" t="s">
        <v>138</v>
      </c>
      <c r="K82" s="25">
        <v>-0.41299999999999998</v>
      </c>
      <c r="L82" s="58">
        <f>U82-K82</f>
        <v>5.2750000000000004</v>
      </c>
      <c r="M82" s="68">
        <v>-6.5830000000000002</v>
      </c>
      <c r="S82" s="25">
        <v>-3.2410000000000001</v>
      </c>
      <c r="T82" s="25">
        <v>4.3719999999999999</v>
      </c>
      <c r="U82" s="25">
        <v>4.8620000000000001</v>
      </c>
    </row>
    <row r="83" spans="2:22" x14ac:dyDescent="0.2">
      <c r="B83" s="1" t="s">
        <v>139</v>
      </c>
      <c r="K83" s="25">
        <v>-8.8999999999999996E-2</v>
      </c>
      <c r="L83" s="58">
        <f>U83-K83</f>
        <v>-0.10300000000000001</v>
      </c>
      <c r="M83" s="68">
        <v>-4.2999999999999997E-2</v>
      </c>
      <c r="S83" s="25">
        <v>-0.44600000000000001</v>
      </c>
      <c r="T83" s="25">
        <v>-7.4999999999999997E-2</v>
      </c>
      <c r="U83" s="25">
        <v>-0.192</v>
      </c>
    </row>
    <row r="84" spans="2:22" x14ac:dyDescent="0.2">
      <c r="B84" s="1" t="s">
        <v>140</v>
      </c>
      <c r="K84" s="25">
        <v>0</v>
      </c>
      <c r="L84" s="58">
        <f>U84-K84</f>
        <v>0</v>
      </c>
      <c r="M84" s="68">
        <v>0</v>
      </c>
      <c r="S84" s="25">
        <v>0</v>
      </c>
      <c r="T84" s="25">
        <v>0.09</v>
      </c>
      <c r="U84" s="25">
        <v>0</v>
      </c>
    </row>
    <row r="85" spans="2:22" x14ac:dyDescent="0.2">
      <c r="B85" s="1" t="s">
        <v>141</v>
      </c>
      <c r="K85" s="25">
        <v>-8.3000000000000004E-2</v>
      </c>
      <c r="L85" s="58">
        <f>U85-K85</f>
        <v>-8.3000000000000004E-2</v>
      </c>
      <c r="M85" s="68">
        <v>-7.9000000000000001E-2</v>
      </c>
      <c r="S85" s="25">
        <v>-0.16900000000000001</v>
      </c>
      <c r="T85" s="25">
        <v>-0.16500000000000001</v>
      </c>
      <c r="U85" s="25">
        <v>-0.16600000000000001</v>
      </c>
    </row>
    <row r="86" spans="2:22" s="2" customFormat="1" x14ac:dyDescent="0.2">
      <c r="B86" s="2" t="s">
        <v>132</v>
      </c>
      <c r="D86" s="29"/>
      <c r="F86" s="29"/>
      <c r="H86" s="29"/>
      <c r="J86" s="29"/>
      <c r="K86" s="67">
        <f>SUM(K82:K85)</f>
        <v>-0.58499999999999996</v>
      </c>
      <c r="L86" s="57">
        <f>SUM(L82:L85)</f>
        <v>5.0890000000000004</v>
      </c>
      <c r="M86" s="67">
        <f>SUM(M82:M85)</f>
        <v>-6.7050000000000001</v>
      </c>
      <c r="N86" s="29"/>
      <c r="P86" s="67">
        <f t="shared" ref="P86:U86" si="78">SUM(P82:P85)</f>
        <v>0</v>
      </c>
      <c r="Q86" s="67">
        <f t="shared" si="78"/>
        <v>0</v>
      </c>
      <c r="R86" s="67">
        <f t="shared" si="78"/>
        <v>0</v>
      </c>
      <c r="S86" s="67">
        <f t="shared" si="78"/>
        <v>-3.8560000000000003</v>
      </c>
      <c r="T86" s="67">
        <f t="shared" si="78"/>
        <v>4.2219999999999995</v>
      </c>
      <c r="U86" s="67">
        <f t="shared" si="78"/>
        <v>4.5039999999999996</v>
      </c>
      <c r="V86" s="47"/>
    </row>
    <row r="87" spans="2:22" x14ac:dyDescent="0.2">
      <c r="K87" s="25"/>
      <c r="L87" s="58"/>
      <c r="S87" s="25"/>
      <c r="T87" s="25"/>
      <c r="U87" s="25"/>
    </row>
    <row r="88" spans="2:22" x14ac:dyDescent="0.2">
      <c r="B88" s="1" t="s">
        <v>142</v>
      </c>
      <c r="K88" s="25">
        <f>-1.015</f>
        <v>-1.0149999999999999</v>
      </c>
      <c r="L88" s="58">
        <f>U88-K88</f>
        <v>0</v>
      </c>
      <c r="M88" s="68">
        <v>0</v>
      </c>
      <c r="S88" s="25">
        <v>0</v>
      </c>
      <c r="T88" s="25">
        <v>0</v>
      </c>
      <c r="U88" s="25">
        <v>-1.0149999999999999</v>
      </c>
    </row>
    <row r="89" spans="2:22" x14ac:dyDescent="0.2">
      <c r="B89" s="1" t="s">
        <v>143</v>
      </c>
      <c r="K89" s="25">
        <v>0</v>
      </c>
      <c r="L89" s="58">
        <f>U89-K89</f>
        <v>0</v>
      </c>
      <c r="M89" s="68">
        <v>0</v>
      </c>
      <c r="S89" s="25">
        <v>0</v>
      </c>
      <c r="T89" s="25">
        <v>0</v>
      </c>
      <c r="U89" s="25">
        <v>0</v>
      </c>
    </row>
    <row r="90" spans="2:22" x14ac:dyDescent="0.2">
      <c r="B90" s="1" t="s">
        <v>144</v>
      </c>
      <c r="K90" s="25">
        <v>-1.865</v>
      </c>
      <c r="L90" s="58">
        <f>U90-K90</f>
        <v>0</v>
      </c>
      <c r="M90" s="68">
        <v>-1.72</v>
      </c>
      <c r="S90" s="25">
        <v>-2.4809999999999999</v>
      </c>
      <c r="T90" s="25">
        <v>-4.2489999999999997</v>
      </c>
      <c r="U90" s="25">
        <v>-1.865</v>
      </c>
    </row>
    <row r="91" spans="2:22" x14ac:dyDescent="0.2">
      <c r="B91" s="1" t="s">
        <v>145</v>
      </c>
      <c r="K91" s="25">
        <v>-0.45100000000000001</v>
      </c>
      <c r="L91" s="58">
        <f>U91-K91</f>
        <v>0</v>
      </c>
      <c r="M91" s="68">
        <v>-0.16800000000000001</v>
      </c>
      <c r="S91" s="25">
        <v>-0.23699999999999999</v>
      </c>
      <c r="T91" s="25">
        <v>-0.72599999999999998</v>
      </c>
      <c r="U91" s="25">
        <v>-0.45100000000000001</v>
      </c>
    </row>
    <row r="92" spans="2:22" x14ac:dyDescent="0.2">
      <c r="B92" s="1" t="s">
        <v>146</v>
      </c>
      <c r="K92" s="25">
        <v>0.01</v>
      </c>
      <c r="L92" s="58">
        <f>U92-K92</f>
        <v>9.0000000000000011E-2</v>
      </c>
      <c r="M92" s="68">
        <v>4.0000000000000001E-3</v>
      </c>
      <c r="S92" s="25">
        <v>3.0000000000000001E-3</v>
      </c>
      <c r="T92" s="25">
        <v>3.0000000000000001E-3</v>
      </c>
      <c r="U92" s="25">
        <v>0.1</v>
      </c>
    </row>
    <row r="93" spans="2:22" s="2" customFormat="1" x14ac:dyDescent="0.2">
      <c r="B93" s="2" t="s">
        <v>133</v>
      </c>
      <c r="D93" s="29"/>
      <c r="F93" s="29"/>
      <c r="H93" s="29"/>
      <c r="J93" s="29"/>
      <c r="K93" s="67">
        <f>SUM(K88:K92)</f>
        <v>-3.3210000000000002</v>
      </c>
      <c r="L93" s="57">
        <f>SUM(L88:L92)</f>
        <v>9.0000000000000011E-2</v>
      </c>
      <c r="M93" s="67">
        <f>SUM(M88:M92)</f>
        <v>-1.8839999999999999</v>
      </c>
      <c r="N93" s="29"/>
      <c r="P93" s="67">
        <f t="shared" ref="P93:U93" si="79">SUM(P88:P92)</f>
        <v>0</v>
      </c>
      <c r="Q93" s="67">
        <f t="shared" si="79"/>
        <v>0</v>
      </c>
      <c r="R93" s="67">
        <f t="shared" si="79"/>
        <v>0</v>
      </c>
      <c r="S93" s="67">
        <f t="shared" si="79"/>
        <v>-2.7149999999999999</v>
      </c>
      <c r="T93" s="67">
        <f t="shared" si="79"/>
        <v>-4.9719999999999995</v>
      </c>
      <c r="U93" s="67">
        <f t="shared" si="79"/>
        <v>-3.2309999999999999</v>
      </c>
      <c r="V93" s="47"/>
    </row>
    <row r="94" spans="2:22" x14ac:dyDescent="0.2">
      <c r="K94" s="25"/>
      <c r="L94" s="58"/>
      <c r="S94" s="25"/>
      <c r="T94" s="25"/>
      <c r="U94" s="25"/>
    </row>
    <row r="95" spans="2:22" x14ac:dyDescent="0.2">
      <c r="B95" s="1" t="s">
        <v>147</v>
      </c>
      <c r="K95" s="25">
        <v>-8.0000000000000002E-3</v>
      </c>
      <c r="L95" s="58">
        <f>U95-K95</f>
        <v>8.0000000000000002E-3</v>
      </c>
      <c r="M95" s="68">
        <v>2.9000000000000001E-2</v>
      </c>
      <c r="S95" s="25">
        <f>15-0.314</f>
        <v>14.686</v>
      </c>
      <c r="T95" s="25">
        <v>0</v>
      </c>
      <c r="U95" s="25">
        <v>0</v>
      </c>
    </row>
    <row r="96" spans="2:22" x14ac:dyDescent="0.2">
      <c r="B96" s="1" t="s">
        <v>148</v>
      </c>
      <c r="K96" s="25">
        <v>0.69099999999999995</v>
      </c>
      <c r="L96" s="58">
        <f>U96-K96</f>
        <v>-0.69899999999999995</v>
      </c>
      <c r="M96" s="68">
        <v>-2.5000000000000001E-2</v>
      </c>
      <c r="S96" s="25"/>
      <c r="T96" s="25">
        <v>0</v>
      </c>
      <c r="U96" s="25">
        <v>-8.0000000000000002E-3</v>
      </c>
    </row>
    <row r="97" spans="2:22" x14ac:dyDescent="0.2">
      <c r="B97" s="1" t="s">
        <v>149</v>
      </c>
      <c r="K97" s="25">
        <v>0</v>
      </c>
      <c r="L97" s="58">
        <f>U97-K97</f>
        <v>0.69099999999999995</v>
      </c>
      <c r="M97" s="68">
        <v>5.508</v>
      </c>
      <c r="S97" s="25">
        <v>-1.893</v>
      </c>
      <c r="T97" s="25">
        <v>0</v>
      </c>
      <c r="U97" s="25">
        <v>0.69099999999999995</v>
      </c>
    </row>
    <row r="98" spans="2:22" x14ac:dyDescent="0.2">
      <c r="B98" s="1" t="s">
        <v>150</v>
      </c>
      <c r="K98" s="25">
        <v>0</v>
      </c>
      <c r="L98" s="58">
        <f>U98-K98</f>
        <v>0</v>
      </c>
      <c r="M98" s="68">
        <v>1</v>
      </c>
      <c r="S98" s="25">
        <f>7.776-8.337</f>
        <v>-0.56099999999999994</v>
      </c>
      <c r="T98" s="25">
        <v>0</v>
      </c>
      <c r="U98" s="25">
        <v>0</v>
      </c>
    </row>
    <row r="99" spans="2:22" x14ac:dyDescent="0.2">
      <c r="B99" s="1" t="s">
        <v>151</v>
      </c>
      <c r="K99" s="25">
        <v>-0.29899999999999999</v>
      </c>
      <c r="L99" s="58">
        <f>U99-K99</f>
        <v>0</v>
      </c>
      <c r="M99" s="68">
        <v>-0.248</v>
      </c>
      <c r="S99" s="25">
        <v>-0.46200000000000002</v>
      </c>
      <c r="T99" s="25">
        <v>-0.46200000000000002</v>
      </c>
      <c r="U99" s="25">
        <v>-0.29899999999999999</v>
      </c>
    </row>
    <row r="100" spans="2:22" s="2" customFormat="1" x14ac:dyDescent="0.2">
      <c r="B100" s="2" t="s">
        <v>152</v>
      </c>
      <c r="D100" s="29"/>
      <c r="F100" s="29"/>
      <c r="H100" s="29"/>
      <c r="J100" s="29"/>
      <c r="K100" s="67">
        <f>SUM(K95:K99)</f>
        <v>0.38399999999999995</v>
      </c>
      <c r="L100" s="57">
        <f>SUM(L95:L99)</f>
        <v>0</v>
      </c>
      <c r="M100" s="67">
        <f>SUM(M95:M99)</f>
        <v>6.2639999999999993</v>
      </c>
      <c r="N100" s="29"/>
      <c r="P100" s="67">
        <f t="shared" ref="P100:U100" si="80">SUM(P95:P99)</f>
        <v>0</v>
      </c>
      <c r="Q100" s="67">
        <f t="shared" si="80"/>
        <v>0</v>
      </c>
      <c r="R100" s="67">
        <f t="shared" si="80"/>
        <v>0</v>
      </c>
      <c r="S100" s="67">
        <f t="shared" si="80"/>
        <v>11.77</v>
      </c>
      <c r="T100" s="67">
        <f t="shared" si="80"/>
        <v>-0.46200000000000002</v>
      </c>
      <c r="U100" s="67">
        <f t="shared" si="80"/>
        <v>0.38399999999999995</v>
      </c>
      <c r="V100" s="47"/>
    </row>
    <row r="101" spans="2:22" x14ac:dyDescent="0.2">
      <c r="L101" s="58"/>
    </row>
    <row r="102" spans="2:22" x14ac:dyDescent="0.2">
      <c r="B102" s="1" t="s">
        <v>135</v>
      </c>
      <c r="K102" s="68">
        <f>+K88+K90+K91</f>
        <v>-3.331</v>
      </c>
      <c r="L102" s="58">
        <f>+L88+L90+L91</f>
        <v>0</v>
      </c>
      <c r="M102" s="68">
        <f>+M88+M90+M91</f>
        <v>-1.8879999999999999</v>
      </c>
      <c r="P102" s="68">
        <f t="shared" ref="P102:U102" si="81">+P88+P90+P91</f>
        <v>0</v>
      </c>
      <c r="Q102" s="68">
        <f t="shared" si="81"/>
        <v>0</v>
      </c>
      <c r="R102" s="68">
        <f t="shared" si="81"/>
        <v>0</v>
      </c>
      <c r="S102" s="68">
        <f t="shared" si="81"/>
        <v>-2.718</v>
      </c>
      <c r="T102" s="68">
        <f t="shared" si="81"/>
        <v>-4.9749999999999996</v>
      </c>
      <c r="U102" s="68">
        <f t="shared" si="81"/>
        <v>-3.331</v>
      </c>
    </row>
    <row r="103" spans="2:22" s="2" customFormat="1" x14ac:dyDescent="0.2">
      <c r="B103" s="2" t="s">
        <v>134</v>
      </c>
      <c r="D103" s="29"/>
      <c r="F103" s="29"/>
      <c r="H103" s="29"/>
      <c r="J103" s="29"/>
      <c r="K103" s="67">
        <f>K86-K102</f>
        <v>2.746</v>
      </c>
      <c r="L103" s="57">
        <f>L86-L102</f>
        <v>5.0890000000000004</v>
      </c>
      <c r="M103" s="67">
        <f>M86-M102</f>
        <v>-4.8170000000000002</v>
      </c>
      <c r="N103" s="29"/>
      <c r="P103" s="67">
        <f t="shared" ref="P103:U103" si="82">P86-P102</f>
        <v>0</v>
      </c>
      <c r="Q103" s="67">
        <f t="shared" si="82"/>
        <v>0</v>
      </c>
      <c r="R103" s="67">
        <f t="shared" si="82"/>
        <v>0</v>
      </c>
      <c r="S103" s="67">
        <f t="shared" si="82"/>
        <v>-1.1380000000000003</v>
      </c>
      <c r="T103" s="67">
        <f t="shared" si="82"/>
        <v>9.1969999999999992</v>
      </c>
      <c r="U103" s="67">
        <f t="shared" si="82"/>
        <v>7.8349999999999991</v>
      </c>
      <c r="V103" s="47"/>
    </row>
  </sheetData>
  <hyperlinks>
    <hyperlink ref="U1" r:id="rId1" xr:uid="{0F1F7899-CBC0-4EDD-B320-C6331D9D04E1}"/>
    <hyperlink ref="S1" r:id="rId2" xr:uid="{27F9E946-7008-4128-A946-D7CD3BD95A46}"/>
    <hyperlink ref="Q1" r:id="rId3" xr:uid="{851E20EF-A79F-4087-846B-75750EFD5CDE}"/>
    <hyperlink ref="K1" r:id="rId4" xr:uid="{55ACAAC2-78C7-4DF1-A031-C9C03F5CC52E}"/>
    <hyperlink ref="M1" r:id="rId5" xr:uid="{7DA399CD-D7CD-43B7-BB15-739C308E5CEF}"/>
    <hyperlink ref="T1" r:id="rId6" xr:uid="{C76E6A73-1E57-4D23-92D7-948EE0F78E12}"/>
  </hyperlinks>
  <pageMargins left="0.7" right="0.7" top="0.75" bottom="0.75" header="0.3" footer="0.3"/>
  <pageSetup paperSize="256" orientation="portrait" horizontalDpi="203" verticalDpi="203" r:id="rId7"/>
  <ignoredErrors>
    <ignoredError sqref="L5:L16 J5:J18 L37" formula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2022-08-25T12:56:40Z</dcterms:created>
  <dcterms:modified xsi:type="dcterms:W3CDTF">2023-03-02T19:59:22Z</dcterms:modified>
</cp:coreProperties>
</file>