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523A265-7E7C-4026-B7DB-F546F75F369F}" xr6:coauthVersionLast="36" xr6:coauthVersionMax="47" xr10:uidLastSave="{00000000-0000-0000-0000-000000000000}"/>
  <bookViews>
    <workbookView xWindow="1605" yWindow="2805" windowWidth="21600" windowHeight="11235" activeTab="1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" i="2" l="1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C25" i="1" l="1"/>
  <c r="C9" i="1"/>
  <c r="C7" i="1"/>
  <c r="N72" i="2"/>
  <c r="N73" i="2" s="1"/>
  <c r="N68" i="2"/>
  <c r="C10" i="1" s="1"/>
  <c r="N67" i="2"/>
  <c r="N69" i="2" s="1"/>
  <c r="N54" i="2"/>
  <c r="N59" i="2"/>
  <c r="N62" i="2" s="1"/>
  <c r="N43" i="2"/>
  <c r="N48" i="2" s="1"/>
  <c r="N64" i="2" s="1"/>
  <c r="N65" i="2" s="1"/>
  <c r="N13" i="2"/>
  <c r="N5" i="2"/>
  <c r="N8" i="2" s="1"/>
  <c r="N10" i="2" s="1"/>
  <c r="N12" i="2" s="1"/>
  <c r="N18" i="2" s="1"/>
  <c r="N75" i="2" l="1"/>
  <c r="C33" i="1"/>
  <c r="N19" i="2"/>
  <c r="N16" i="2"/>
  <c r="N17" i="2"/>
  <c r="N21" i="2"/>
  <c r="V33" i="2" l="1"/>
  <c r="U33" i="2"/>
  <c r="T33" i="2"/>
  <c r="S33" i="2"/>
  <c r="R33" i="2"/>
  <c r="Q33" i="2"/>
  <c r="W33" i="2"/>
  <c r="C26" i="1" s="1"/>
  <c r="L7" i="1" l="1"/>
  <c r="Z19" i="2" l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Y19" i="2"/>
  <c r="Y14" i="2"/>
  <c r="Y6" i="2"/>
  <c r="Z6" i="2" s="1"/>
  <c r="X3" i="2"/>
  <c r="X4" i="2" s="1"/>
  <c r="X6" i="2"/>
  <c r="X14" i="2"/>
  <c r="W25" i="2"/>
  <c r="W29" i="2" s="1"/>
  <c r="L72" i="2"/>
  <c r="H72" i="2"/>
  <c r="V72" i="2"/>
  <c r="W72" i="2"/>
  <c r="H68" i="2"/>
  <c r="H67" i="2"/>
  <c r="L68" i="2"/>
  <c r="L67" i="2"/>
  <c r="V68" i="2"/>
  <c r="V67" i="2"/>
  <c r="V69" i="2" s="1"/>
  <c r="W68" i="2"/>
  <c r="W67" i="2"/>
  <c r="V54" i="2"/>
  <c r="V59" i="2" s="1"/>
  <c r="V62" i="2" s="1"/>
  <c r="W54" i="2"/>
  <c r="W59" i="2" s="1"/>
  <c r="W62" i="2" s="1"/>
  <c r="V43" i="2"/>
  <c r="V48" i="2" s="1"/>
  <c r="W43" i="2"/>
  <c r="W48" i="2" s="1"/>
  <c r="M14" i="2"/>
  <c r="W21" i="2"/>
  <c r="W9" i="2"/>
  <c r="W5" i="2"/>
  <c r="W8" i="2" s="1"/>
  <c r="W17" i="2" s="1"/>
  <c r="M11" i="2"/>
  <c r="M7" i="2"/>
  <c r="M6" i="2"/>
  <c r="M4" i="2"/>
  <c r="M3" i="2"/>
  <c r="D11" i="1"/>
  <c r="D10" i="1"/>
  <c r="D9" i="1"/>
  <c r="D7" i="1"/>
  <c r="Y3" i="2" l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M22" i="2"/>
  <c r="N22" i="2"/>
  <c r="X5" i="2"/>
  <c r="AA6" i="2"/>
  <c r="AB6" i="2"/>
  <c r="AC6" i="2"/>
  <c r="H69" i="2"/>
  <c r="W69" i="2"/>
  <c r="W73" i="2" s="1"/>
  <c r="W77" i="2" s="1"/>
  <c r="W10" i="2"/>
  <c r="W64" i="2"/>
  <c r="W65" i="2" s="1"/>
  <c r="W75" i="2" s="1"/>
  <c r="L69" i="2"/>
  <c r="L73" i="2" s="1"/>
  <c r="V73" i="2"/>
  <c r="V76" i="2"/>
  <c r="W76" i="2"/>
  <c r="H73" i="2"/>
  <c r="V64" i="2"/>
  <c r="V65" i="2" s="1"/>
  <c r="V75" i="2" s="1"/>
  <c r="M5" i="2"/>
  <c r="M16" i="2" s="1"/>
  <c r="W16" i="2"/>
  <c r="M9" i="2"/>
  <c r="R29" i="2"/>
  <c r="Q29" i="2"/>
  <c r="R31" i="2"/>
  <c r="Q31" i="2"/>
  <c r="R21" i="2"/>
  <c r="Q9" i="2"/>
  <c r="R9" i="2"/>
  <c r="Q5" i="2"/>
  <c r="Q8" i="2" s="1"/>
  <c r="S21" i="2"/>
  <c r="R5" i="2"/>
  <c r="R16" i="2" s="1"/>
  <c r="X16" i="2" l="1"/>
  <c r="X8" i="2"/>
  <c r="X17" i="2" s="1"/>
  <c r="AD6" i="2"/>
  <c r="V77" i="2"/>
  <c r="M8" i="2"/>
  <c r="M10" i="2" s="1"/>
  <c r="M12" i="2" s="1"/>
  <c r="W12" i="2"/>
  <c r="W79" i="2" s="1"/>
  <c r="W19" i="2"/>
  <c r="Q16" i="2"/>
  <c r="Q17" i="2"/>
  <c r="Q10" i="2"/>
  <c r="R8" i="2"/>
  <c r="AE6" i="2" l="1"/>
  <c r="AG6" i="2" s="1"/>
  <c r="AF6" i="2"/>
  <c r="M19" i="2"/>
  <c r="M17" i="2"/>
  <c r="W13" i="2"/>
  <c r="W78" i="2" s="1"/>
  <c r="W18" i="2"/>
  <c r="M18" i="2"/>
  <c r="Q12" i="2"/>
  <c r="Q18" i="2" s="1"/>
  <c r="Q19" i="2"/>
  <c r="R17" i="2"/>
  <c r="R10" i="2"/>
  <c r="AH6" i="2" l="1"/>
  <c r="AI6" i="2"/>
  <c r="Q13" i="2"/>
  <c r="R12" i="2"/>
  <c r="R13" i="2" s="1"/>
  <c r="R19" i="2"/>
  <c r="AJ6" i="2" l="1"/>
  <c r="AK6" i="2"/>
  <c r="R18" i="2"/>
  <c r="AL6" i="2" l="1"/>
  <c r="AM6" i="2" s="1"/>
  <c r="G14" i="2"/>
  <c r="I14" i="2"/>
  <c r="K14" i="2"/>
  <c r="M13" i="2"/>
  <c r="C36" i="1" s="1"/>
  <c r="H21" i="2"/>
  <c r="J21" i="2"/>
  <c r="L21" i="2"/>
  <c r="T21" i="2"/>
  <c r="U21" i="2"/>
  <c r="V21" i="2"/>
  <c r="AP21" i="2"/>
  <c r="T25" i="2"/>
  <c r="T29" i="2" s="1"/>
  <c r="V25" i="2"/>
  <c r="V29" i="2" s="1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H54" i="2"/>
  <c r="H59" i="2" s="1"/>
  <c r="H62" i="2" s="1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S9" i="2"/>
  <c r="S5" i="2"/>
  <c r="T9" i="2"/>
  <c r="T5" i="2"/>
  <c r="T16" i="2" s="1"/>
  <c r="K11" i="2"/>
  <c r="K9" i="2"/>
  <c r="K7" i="2"/>
  <c r="K6" i="2"/>
  <c r="K4" i="2"/>
  <c r="K3" i="2"/>
  <c r="U9" i="2"/>
  <c r="U5" i="2"/>
  <c r="U16" i="2" s="1"/>
  <c r="V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H64" i="2" l="1"/>
  <c r="H65" i="2" s="1"/>
  <c r="H75" i="2" s="1"/>
  <c r="M21" i="2"/>
  <c r="I9" i="2"/>
  <c r="X9" i="2"/>
  <c r="X10" i="2" s="1"/>
  <c r="X12" i="2" s="1"/>
  <c r="X18" i="2" s="1"/>
  <c r="L75" i="2"/>
  <c r="K5" i="2"/>
  <c r="K16" i="2" s="1"/>
  <c r="I5" i="2"/>
  <c r="I16" i="2" s="1"/>
  <c r="G9" i="2"/>
  <c r="H8" i="2"/>
  <c r="H16" i="2"/>
  <c r="V8" i="2"/>
  <c r="V17" i="2" s="1"/>
  <c r="V16" i="2"/>
  <c r="S8" i="2"/>
  <c r="S17" i="2" s="1"/>
  <c r="S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U8" i="2"/>
  <c r="U17" i="2" s="1"/>
  <c r="J8" i="2"/>
  <c r="J17" i="2" s="1"/>
  <c r="T8" i="2"/>
  <c r="T17" i="2" s="1"/>
  <c r="X13" i="2" l="1"/>
  <c r="X11" i="2"/>
  <c r="I8" i="2"/>
  <c r="I10" i="2" s="1"/>
  <c r="K8" i="2"/>
  <c r="K17" i="2" s="1"/>
  <c r="F10" i="2"/>
  <c r="H10" i="2"/>
  <c r="H17" i="2"/>
  <c r="V10" i="2"/>
  <c r="S10" i="2"/>
  <c r="J10" i="2"/>
  <c r="G8" i="2"/>
  <c r="G17" i="2" s="1"/>
  <c r="T10" i="2"/>
  <c r="T19" i="2" s="1"/>
  <c r="L10" i="2"/>
  <c r="U10" i="2"/>
  <c r="K10" i="2" l="1"/>
  <c r="K19" i="2" s="1"/>
  <c r="I17" i="2"/>
  <c r="Y4" i="2"/>
  <c r="Y5" i="2" s="1"/>
  <c r="F12" i="2"/>
  <c r="F18" i="2" s="1"/>
  <c r="F19" i="2"/>
  <c r="V12" i="2"/>
  <c r="V19" i="2"/>
  <c r="S12" i="2"/>
  <c r="S19" i="2"/>
  <c r="H12" i="2"/>
  <c r="H13" i="2" s="1"/>
  <c r="H19" i="2"/>
  <c r="K12" i="2"/>
  <c r="K18" i="2" s="1"/>
  <c r="U12" i="2"/>
  <c r="U18" i="2" s="1"/>
  <c r="U19" i="2"/>
  <c r="I12" i="2"/>
  <c r="I18" i="2" s="1"/>
  <c r="I19" i="2"/>
  <c r="L12" i="2"/>
  <c r="L18" i="2" s="1"/>
  <c r="L19" i="2"/>
  <c r="J12" i="2"/>
  <c r="J18" i="2" s="1"/>
  <c r="J19" i="2"/>
  <c r="T12" i="2"/>
  <c r="T18" i="2" s="1"/>
  <c r="G10" i="2"/>
  <c r="G19" i="2" s="1"/>
  <c r="C8" i="1"/>
  <c r="C11" i="1"/>
  <c r="C34" i="1" l="1"/>
  <c r="AP18" i="2"/>
  <c r="Y16" i="2"/>
  <c r="V18" i="2"/>
  <c r="V79" i="2"/>
  <c r="F13" i="2"/>
  <c r="J13" i="2"/>
  <c r="H18" i="2"/>
  <c r="V13" i="2"/>
  <c r="Z4" i="2"/>
  <c r="Z5" i="2" s="1"/>
  <c r="K13" i="2"/>
  <c r="S18" i="2"/>
  <c r="S13" i="2"/>
  <c r="I13" i="2"/>
  <c r="U13" i="2"/>
  <c r="L13" i="2"/>
  <c r="G12" i="2"/>
  <c r="G18" i="2" s="1"/>
  <c r="T13" i="2"/>
  <c r="C12" i="1"/>
  <c r="C37" i="1" l="1"/>
  <c r="C35" i="1"/>
  <c r="Z16" i="2"/>
  <c r="V78" i="2"/>
  <c r="AA4" i="2"/>
  <c r="AA5" i="2" s="1"/>
  <c r="G13" i="2"/>
  <c r="AA16" i="2" l="1"/>
  <c r="AB4" i="2"/>
  <c r="AB5" i="2" s="1"/>
  <c r="AB16" i="2" l="1"/>
  <c r="AC4" i="2"/>
  <c r="AC5" i="2" s="1"/>
  <c r="Y8" i="2"/>
  <c r="Y17" i="2" s="1"/>
  <c r="AC16" i="2" l="1"/>
  <c r="Y10" i="2"/>
  <c r="Y11" i="2" s="1"/>
  <c r="AD4" i="2"/>
  <c r="AD5" i="2" s="1"/>
  <c r="Z8" i="2"/>
  <c r="Z17" i="2" s="1"/>
  <c r="AD16" i="2" l="1"/>
  <c r="Y12" i="2"/>
  <c r="Y13" i="2" s="1"/>
  <c r="AE4" i="2"/>
  <c r="AE5" i="2" s="1"/>
  <c r="AA8" i="2"/>
  <c r="AA17" i="2" s="1"/>
  <c r="Z10" i="2"/>
  <c r="Z11" i="2" s="1"/>
  <c r="AE16" i="2" l="1"/>
  <c r="Y18" i="2"/>
  <c r="AF4" i="2"/>
  <c r="AF5" i="2" s="1"/>
  <c r="AA10" i="2"/>
  <c r="AA11" i="2" s="1"/>
  <c r="Z12" i="2"/>
  <c r="AB8" i="2"/>
  <c r="AB17" i="2" s="1"/>
  <c r="AF16" i="2" l="1"/>
  <c r="AG4" i="2"/>
  <c r="AG5" i="2" s="1"/>
  <c r="Z13" i="2"/>
  <c r="Z18" i="2"/>
  <c r="AB10" i="2"/>
  <c r="AB11" i="2" s="1"/>
  <c r="AC8" i="2"/>
  <c r="AC17" i="2" s="1"/>
  <c r="AA12" i="2"/>
  <c r="AG16" i="2" l="1"/>
  <c r="AH4" i="2"/>
  <c r="AH5" i="2" s="1"/>
  <c r="AA13" i="2"/>
  <c r="AA18" i="2"/>
  <c r="AC10" i="2"/>
  <c r="AC11" i="2" s="1"/>
  <c r="AD8" i="2"/>
  <c r="AD17" i="2" s="1"/>
  <c r="AB12" i="2"/>
  <c r="AH16" i="2" l="1"/>
  <c r="AI4" i="2"/>
  <c r="AI5" i="2" s="1"/>
  <c r="AB13" i="2"/>
  <c r="AB18" i="2"/>
  <c r="AE8" i="2"/>
  <c r="AE17" i="2" s="1"/>
  <c r="AD10" i="2"/>
  <c r="AD11" i="2" s="1"/>
  <c r="AC12" i="2"/>
  <c r="AI16" i="2" l="1"/>
  <c r="AJ4" i="2"/>
  <c r="AJ5" i="2" s="1"/>
  <c r="AE10" i="2"/>
  <c r="AE11" i="2" s="1"/>
  <c r="AC13" i="2"/>
  <c r="AC18" i="2"/>
  <c r="AD12" i="2"/>
  <c r="AF8" i="2"/>
  <c r="AF17" i="2" s="1"/>
  <c r="AJ16" i="2" l="1"/>
  <c r="AK4" i="2"/>
  <c r="AK5" i="2" s="1"/>
  <c r="AF10" i="2"/>
  <c r="AF11" i="2" s="1"/>
  <c r="AG8" i="2"/>
  <c r="AG17" i="2" s="1"/>
  <c r="AD13" i="2"/>
  <c r="AD18" i="2"/>
  <c r="AE12" i="2"/>
  <c r="AK16" i="2" l="1"/>
  <c r="AL4" i="2"/>
  <c r="AL5" i="2"/>
  <c r="AG10" i="2"/>
  <c r="AG11" i="2" s="1"/>
  <c r="AE13" i="2"/>
  <c r="AE18" i="2"/>
  <c r="AH8" i="2"/>
  <c r="AH17" i="2" s="1"/>
  <c r="AF12" i="2"/>
  <c r="AL16" i="2" l="1"/>
  <c r="AM4" i="2"/>
  <c r="AM5" i="2" s="1"/>
  <c r="AH10" i="2"/>
  <c r="AH11" i="2" s="1"/>
  <c r="AI8" i="2"/>
  <c r="AI17" i="2" s="1"/>
  <c r="AF13" i="2"/>
  <c r="AF18" i="2"/>
  <c r="AG12" i="2"/>
  <c r="AM16" i="2" l="1"/>
  <c r="AG13" i="2"/>
  <c r="AG18" i="2"/>
  <c r="AI10" i="2"/>
  <c r="AI11" i="2" s="1"/>
  <c r="AJ8" i="2"/>
  <c r="AJ17" i="2" s="1"/>
  <c r="AH12" i="2"/>
  <c r="AH13" i="2" l="1"/>
  <c r="AH18" i="2"/>
  <c r="AJ10" i="2"/>
  <c r="AJ11" i="2" s="1"/>
  <c r="AK8" i="2"/>
  <c r="AK17" i="2" s="1"/>
  <c r="AI12" i="2"/>
  <c r="AK10" i="2" l="1"/>
  <c r="AK11" i="2" s="1"/>
  <c r="AM8" i="2"/>
  <c r="AM17" i="2" s="1"/>
  <c r="AL8" i="2"/>
  <c r="AL17" i="2" s="1"/>
  <c r="AI13" i="2"/>
  <c r="AI18" i="2"/>
  <c r="AJ12" i="2"/>
  <c r="AJ13" i="2" l="1"/>
  <c r="AJ18" i="2"/>
  <c r="AL10" i="2"/>
  <c r="AL11" i="2" s="1"/>
  <c r="AM10" i="2"/>
  <c r="AM11" i="2" s="1"/>
  <c r="AK12" i="2"/>
  <c r="AK13" i="2" l="1"/>
  <c r="AK18" i="2"/>
  <c r="AM12" i="2"/>
  <c r="AL12" i="2"/>
  <c r="AL13" i="2" l="1"/>
  <c r="AL18" i="2"/>
  <c r="AM13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P17" i="2" s="1"/>
  <c r="AP19" i="2" s="1"/>
  <c r="AP20" i="2" s="1"/>
  <c r="AM18" i="2"/>
  <c r="AP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T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T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<sst xmlns="http://schemas.openxmlformats.org/spreadsheetml/2006/main" count="221" uniqueCount="154">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</sst>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0</xdr:row>
      <xdr:rowOff>19050</xdr:rowOff>
    </xdr:from>
    <xdr:to>
      <xdr:col>23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9525</xdr:rowOff>
    </xdr:from>
    <xdr:to>
      <xdr:col>14</xdr:col>
      <xdr:colOff>9525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077325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workbookViewId="0">
      <selection activeCell="N25" sqref="N25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4" t="s">
        <v>151</v>
      </c>
      <c r="I2" s="164"/>
      <c r="J2" s="164"/>
      <c r="K2" s="164"/>
      <c r="L2" s="164"/>
    </row>
    <row r="3" spans="2:21" x14ac:dyDescent="0.2">
      <c r="B3" s="3" t="s">
        <v>1</v>
      </c>
    </row>
    <row r="5" spans="2:21" x14ac:dyDescent="0.2">
      <c r="B5" s="166" t="s">
        <v>2</v>
      </c>
      <c r="C5" s="167"/>
      <c r="D5" s="168"/>
      <c r="H5" s="166" t="s">
        <v>101</v>
      </c>
      <c r="I5" s="167"/>
      <c r="J5" s="167"/>
      <c r="K5" s="167"/>
      <c r="L5" s="168"/>
      <c r="O5" s="166" t="s">
        <v>68</v>
      </c>
      <c r="P5" s="167"/>
      <c r="Q5" s="167"/>
      <c r="R5" s="167"/>
      <c r="S5" s="167"/>
      <c r="T5" s="167"/>
      <c r="U5" s="168"/>
    </row>
    <row r="6" spans="2:21" x14ac:dyDescent="0.2">
      <c r="B6" s="4" t="s">
        <v>3</v>
      </c>
      <c r="C6" s="26">
        <v>2.4350000000000001</v>
      </c>
      <c r="D6" s="39"/>
      <c r="H6" s="173" t="s">
        <v>103</v>
      </c>
      <c r="I6" s="174"/>
      <c r="J6" s="174"/>
      <c r="K6" s="174"/>
      <c r="L6" s="58" t="s">
        <v>102</v>
      </c>
      <c r="O6" s="91">
        <v>45200</v>
      </c>
      <c r="P6" s="165" t="s">
        <v>153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Model'!N14</f>
        <v>171.22236899999999</v>
      </c>
      <c r="D7" s="39" t="str">
        <f>$C$28</f>
        <v>H123</v>
      </c>
      <c r="H7" s="175" t="s">
        <v>100</v>
      </c>
      <c r="I7" s="176"/>
      <c r="J7" s="176"/>
      <c r="K7" s="176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416.92646851499995</v>
      </c>
      <c r="D8" s="39"/>
      <c r="H8" s="177" t="s">
        <v>104</v>
      </c>
      <c r="I8" s="171"/>
      <c r="J8" s="171"/>
      <c r="K8" s="171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Model'!N67</f>
        <v>44.149000000000001</v>
      </c>
      <c r="D9" s="39" t="str">
        <f t="shared" ref="D9:D11" si="0">$C$28</f>
        <v>H123</v>
      </c>
      <c r="H9" s="177" t="s">
        <v>105</v>
      </c>
      <c r="I9" s="171"/>
      <c r="J9" s="171"/>
      <c r="K9" s="171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Model'!N68</f>
        <v>0</v>
      </c>
      <c r="D10" s="39" t="str">
        <f t="shared" si="0"/>
        <v>H123</v>
      </c>
      <c r="H10" s="177" t="s">
        <v>106</v>
      </c>
      <c r="I10" s="171"/>
      <c r="J10" s="171"/>
      <c r="K10" s="171"/>
      <c r="L10" s="59">
        <v>7</v>
      </c>
      <c r="O10" s="91">
        <v>44866</v>
      </c>
      <c r="P10" s="92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44.149000000000001</v>
      </c>
      <c r="D11" s="39" t="str">
        <f t="shared" si="0"/>
        <v>H123</v>
      </c>
      <c r="H11" s="177" t="s">
        <v>107</v>
      </c>
      <c r="I11" s="171"/>
      <c r="J11" s="171"/>
      <c r="K11" s="171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372.77746851499995</v>
      </c>
      <c r="D12" s="40"/>
      <c r="H12" s="178" t="s">
        <v>108</v>
      </c>
      <c r="I12" s="169"/>
      <c r="J12" s="169"/>
      <c r="K12" s="169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6" t="s">
        <v>10</v>
      </c>
      <c r="C15" s="167"/>
      <c r="D15" s="168"/>
    </row>
    <row r="16" spans="2:21" x14ac:dyDescent="0.2">
      <c r="B16" s="16" t="s">
        <v>11</v>
      </c>
      <c r="C16" s="171" t="s">
        <v>94</v>
      </c>
      <c r="D16" s="172"/>
    </row>
    <row r="17" spans="2:16" x14ac:dyDescent="0.2">
      <c r="B17" s="16" t="s">
        <v>95</v>
      </c>
      <c r="C17" s="171" t="s">
        <v>96</v>
      </c>
      <c r="D17" s="172"/>
      <c r="H17" s="166" t="s">
        <v>125</v>
      </c>
      <c r="I17" s="167"/>
      <c r="J17" s="167"/>
      <c r="K17" s="167"/>
      <c r="L17" s="168"/>
    </row>
    <row r="18" spans="2:16" x14ac:dyDescent="0.2">
      <c r="B18" s="16"/>
      <c r="C18" s="171"/>
      <c r="D18" s="172"/>
      <c r="H18" s="82" t="s">
        <v>119</v>
      </c>
      <c r="I18" s="83"/>
      <c r="J18" s="83"/>
      <c r="K18" s="6"/>
      <c r="L18" s="7"/>
    </row>
    <row r="19" spans="2:16" x14ac:dyDescent="0.2">
      <c r="B19" s="50"/>
      <c r="C19" s="169"/>
      <c r="D19" s="170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66" t="s">
        <v>26</v>
      </c>
      <c r="C22" s="167"/>
      <c r="D22" s="168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71" t="s">
        <v>29</v>
      </c>
      <c r="D23" s="172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71">
        <v>2010</v>
      </c>
      <c r="D24" s="172"/>
      <c r="H24" s="82"/>
      <c r="I24" s="83"/>
      <c r="J24" s="83"/>
      <c r="K24" s="6"/>
      <c r="L24" s="7"/>
    </row>
    <row r="25" spans="2:16" x14ac:dyDescent="0.2">
      <c r="B25" s="17" t="s">
        <v>32</v>
      </c>
      <c r="C25" s="171">
        <f>+'Financial Model'!N25</f>
        <v>69</v>
      </c>
      <c r="D25" s="172"/>
      <c r="H25" s="82"/>
      <c r="I25" s="83"/>
      <c r="J25" s="83"/>
      <c r="K25" s="6"/>
      <c r="L25" s="7"/>
      <c r="O25" s="163" t="s">
        <v>150</v>
      </c>
    </row>
    <row r="26" spans="2:16" x14ac:dyDescent="0.2">
      <c r="B26" s="17" t="s">
        <v>114</v>
      </c>
      <c r="C26" s="181">
        <f>'Financial Model'!W33</f>
        <v>2530</v>
      </c>
      <c r="D26" s="172"/>
      <c r="H26" s="84"/>
      <c r="I26" s="85"/>
      <c r="J26" s="85"/>
      <c r="K26" s="8"/>
      <c r="L26" s="9"/>
    </row>
    <row r="27" spans="2:16" x14ac:dyDescent="0.2">
      <c r="B27" s="17" t="s">
        <v>118</v>
      </c>
      <c r="C27" s="171">
        <v>2016</v>
      </c>
      <c r="D27" s="172"/>
    </row>
    <row r="28" spans="2:16" x14ac:dyDescent="0.2">
      <c r="B28" s="17" t="s">
        <v>139</v>
      </c>
      <c r="C28" s="90" t="s">
        <v>149</v>
      </c>
      <c r="D28" s="98">
        <v>45076</v>
      </c>
    </row>
    <row r="29" spans="2:16" x14ac:dyDescent="0.2">
      <c r="B29" s="18" t="s">
        <v>30</v>
      </c>
      <c r="C29" s="184" t="s">
        <v>31</v>
      </c>
      <c r="D29" s="185"/>
      <c r="H29" s="166" t="s">
        <v>126</v>
      </c>
      <c r="I29" s="167"/>
      <c r="J29" s="167"/>
      <c r="K29" s="167"/>
      <c r="L29" s="168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66" t="s">
        <v>133</v>
      </c>
      <c r="C32" s="167"/>
      <c r="D32" s="168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82">
        <f>C6/'Financial Model'!N65</f>
        <v>2.9917226500789318</v>
      </c>
      <c r="D33" s="183"/>
      <c r="H33" s="86"/>
      <c r="I33" s="83"/>
      <c r="J33" s="83"/>
      <c r="K33" s="6"/>
      <c r="L33" s="7"/>
    </row>
    <row r="34" spans="2:12" x14ac:dyDescent="0.2">
      <c r="B34" s="17" t="s">
        <v>135</v>
      </c>
      <c r="C34" s="182">
        <f>C8/SUM('Financial Model'!M3:N3)</f>
        <v>2.0475713020086435</v>
      </c>
      <c r="D34" s="183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82">
        <f>C12/SUM('Financial Model'!M3:N3)</f>
        <v>1.830750753928887</v>
      </c>
      <c r="D35" s="183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82">
        <f>C6/SUM('Financial Model'!M13:N13)</f>
        <v>12.882950063551361</v>
      </c>
      <c r="D36" s="183"/>
      <c r="H36" s="82"/>
      <c r="I36" s="83"/>
      <c r="J36" s="83"/>
      <c r="K36" s="6"/>
      <c r="L36" s="7"/>
    </row>
    <row r="37" spans="2:12" x14ac:dyDescent="0.2">
      <c r="B37" s="18" t="s">
        <v>142</v>
      </c>
      <c r="C37" s="179">
        <f>C12/SUM('Financial Model'!M12:N12)</f>
        <v>11.524685232022494</v>
      </c>
      <c r="D37" s="180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H29:L29"/>
    <mergeCell ref="C29:D29"/>
    <mergeCell ref="C35:D35"/>
    <mergeCell ref="B5:D5"/>
    <mergeCell ref="B15:D15"/>
    <mergeCell ref="C16:D16"/>
    <mergeCell ref="C17:D17"/>
    <mergeCell ref="C18:D18"/>
    <mergeCell ref="C37:D37"/>
    <mergeCell ref="C26:D26"/>
    <mergeCell ref="C27:D27"/>
    <mergeCell ref="C25:D25"/>
    <mergeCell ref="B32:D32"/>
    <mergeCell ref="C33:D33"/>
    <mergeCell ref="C34:D34"/>
    <mergeCell ref="C36:D36"/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6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S84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M7" sqref="Y7:AM7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155"/>
    <col min="16" max="23" width="9.140625" style="1"/>
    <col min="24" max="24" width="9.140625" style="79"/>
    <col min="25" max="40" width="9.140625" style="1"/>
    <col min="41" max="41" width="15.7109375" style="1" bestFit="1" customWidth="1"/>
    <col min="42" max="16384" width="9.140625" style="1"/>
  </cols>
  <sheetData>
    <row r="1" spans="1:97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152"/>
      <c r="Q1" s="10" t="s">
        <v>70</v>
      </c>
      <c r="R1" s="28" t="s">
        <v>69</v>
      </c>
      <c r="S1" s="10" t="s">
        <v>25</v>
      </c>
      <c r="T1" s="28" t="s">
        <v>20</v>
      </c>
      <c r="U1" s="10" t="s">
        <v>21</v>
      </c>
      <c r="V1" s="28" t="s">
        <v>22</v>
      </c>
      <c r="W1" s="28" t="s">
        <v>23</v>
      </c>
      <c r="X1" s="131" t="s">
        <v>24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</row>
    <row r="2" spans="1:97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153"/>
      <c r="Q2" s="22">
        <v>42643</v>
      </c>
      <c r="R2" s="22">
        <v>43008</v>
      </c>
      <c r="S2" s="22">
        <v>43373</v>
      </c>
      <c r="T2" s="22">
        <v>43738</v>
      </c>
      <c r="U2" s="22">
        <v>44104</v>
      </c>
      <c r="V2" s="22">
        <v>44469</v>
      </c>
      <c r="W2" s="22">
        <v>44834</v>
      </c>
      <c r="X2" s="132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</row>
    <row r="3" spans="1:97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T3-F3</f>
        <v>62.904000000000011</v>
      </c>
      <c r="H3" s="36">
        <v>69.23</v>
      </c>
      <c r="I3" s="30">
        <f>U3-H3</f>
        <v>10.242999999999995</v>
      </c>
      <c r="J3" s="12">
        <v>10.433</v>
      </c>
      <c r="K3" s="30">
        <f>V3-J3</f>
        <v>61.445</v>
      </c>
      <c r="L3" s="12">
        <v>100.173</v>
      </c>
      <c r="M3" s="30">
        <f>W3-L3</f>
        <v>93.568000000000012</v>
      </c>
      <c r="N3" s="12">
        <v>110.05200000000001</v>
      </c>
      <c r="O3" s="41"/>
      <c r="Q3" s="12">
        <v>104.803</v>
      </c>
      <c r="R3" s="12">
        <v>113.968</v>
      </c>
      <c r="S3" s="12">
        <v>120.548</v>
      </c>
      <c r="T3" s="12">
        <v>129.89400000000001</v>
      </c>
      <c r="U3" s="12">
        <v>79.472999999999999</v>
      </c>
      <c r="V3" s="12">
        <v>71.878</v>
      </c>
      <c r="W3" s="12">
        <v>193.74100000000001</v>
      </c>
      <c r="X3" s="133">
        <f>W3*(1+X21)</f>
        <v>215.05251000000004</v>
      </c>
      <c r="Y3" s="36">
        <f>X3*(1+Y21)</f>
        <v>247.31038650000002</v>
      </c>
      <c r="Z3" s="36">
        <f t="shared" ref="Z3:AM3" si="1">Y3*(1+Z21)</f>
        <v>296.77246380000003</v>
      </c>
      <c r="AA3" s="36">
        <f t="shared" si="1"/>
        <v>356.12695656</v>
      </c>
      <c r="AB3" s="36">
        <f t="shared" si="1"/>
        <v>409.54600004399998</v>
      </c>
      <c r="AC3" s="36">
        <f t="shared" si="1"/>
        <v>450.50060004840003</v>
      </c>
      <c r="AD3" s="36">
        <f t="shared" si="1"/>
        <v>495.55066005324005</v>
      </c>
      <c r="AE3" s="36">
        <f t="shared" si="1"/>
        <v>535.19471285749933</v>
      </c>
      <c r="AF3" s="36">
        <f t="shared" si="1"/>
        <v>561.95444850037427</v>
      </c>
      <c r="AG3" s="36">
        <f t="shared" si="1"/>
        <v>590.05217092539306</v>
      </c>
      <c r="AH3" s="36">
        <f t="shared" si="1"/>
        <v>601.85321434390096</v>
      </c>
      <c r="AI3" s="36">
        <f t="shared" si="1"/>
        <v>613.89027863077899</v>
      </c>
      <c r="AJ3" s="36">
        <f t="shared" si="1"/>
        <v>626.16808420339453</v>
      </c>
      <c r="AK3" s="36">
        <f t="shared" si="1"/>
        <v>638.69144588746246</v>
      </c>
      <c r="AL3" s="36">
        <f t="shared" si="1"/>
        <v>651.46527480521172</v>
      </c>
      <c r="AM3" s="36">
        <f t="shared" si="1"/>
        <v>664.49458030131598</v>
      </c>
    </row>
    <row r="4" spans="1:97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U4-H4</f>
        <v>1.5669999999999984</v>
      </c>
      <c r="J4" s="14">
        <v>1.1919999999999999</v>
      </c>
      <c r="K4" s="31">
        <f>V4-J4</f>
        <v>9.0649999999999995</v>
      </c>
      <c r="L4" s="14">
        <v>13.641</v>
      </c>
      <c r="M4" s="31">
        <f>W4-L4</f>
        <v>15.750999999999999</v>
      </c>
      <c r="N4" s="14">
        <v>18.972000000000001</v>
      </c>
      <c r="Q4" s="14">
        <v>15.375999999999999</v>
      </c>
      <c r="R4" s="14">
        <v>15.349</v>
      </c>
      <c r="S4" s="14">
        <v>16.748000000000001</v>
      </c>
      <c r="T4" s="14">
        <v>18.542000000000002</v>
      </c>
      <c r="U4" s="14">
        <v>11.542999999999999</v>
      </c>
      <c r="V4" s="14">
        <v>10.257</v>
      </c>
      <c r="W4" s="14">
        <v>29.391999999999999</v>
      </c>
      <c r="X4" s="134">
        <f>X3*0.16</f>
        <v>34.408401600000005</v>
      </c>
      <c r="Y4" s="27">
        <f t="shared" ref="Y4:AM4" si="2">Y3*0.14</f>
        <v>34.623454110000004</v>
      </c>
      <c r="Z4" s="27">
        <f t="shared" si="2"/>
        <v>41.548144932000007</v>
      </c>
      <c r="AA4" s="27">
        <f t="shared" si="2"/>
        <v>49.857773918400007</v>
      </c>
      <c r="AB4" s="27">
        <f t="shared" si="2"/>
        <v>57.336440006160004</v>
      </c>
      <c r="AC4" s="27">
        <f t="shared" si="2"/>
        <v>63.070084006776007</v>
      </c>
      <c r="AD4" s="27">
        <f t="shared" si="2"/>
        <v>69.377092407453617</v>
      </c>
      <c r="AE4" s="27">
        <f t="shared" si="2"/>
        <v>74.92725980004991</v>
      </c>
      <c r="AF4" s="27">
        <f t="shared" si="2"/>
        <v>78.673622790052406</v>
      </c>
      <c r="AG4" s="27">
        <f t="shared" si="2"/>
        <v>82.60730392955503</v>
      </c>
      <c r="AH4" s="27">
        <f t="shared" si="2"/>
        <v>84.259450008146146</v>
      </c>
      <c r="AI4" s="27">
        <f t="shared" si="2"/>
        <v>85.944639008309068</v>
      </c>
      <c r="AJ4" s="27">
        <f t="shared" si="2"/>
        <v>87.66353178847524</v>
      </c>
      <c r="AK4" s="27">
        <f t="shared" si="2"/>
        <v>89.41680242424475</v>
      </c>
      <c r="AL4" s="27">
        <f t="shared" si="2"/>
        <v>91.205138472729644</v>
      </c>
      <c r="AM4" s="27">
        <f t="shared" si="2"/>
        <v>93.029241242184241</v>
      </c>
    </row>
    <row r="5" spans="1:97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N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154"/>
      <c r="Q5" s="12">
        <f t="shared" ref="Q5:W5" si="4">Q3-Q4</f>
        <v>89.426999999999992</v>
      </c>
      <c r="R5" s="12">
        <f t="shared" si="4"/>
        <v>98.619</v>
      </c>
      <c r="S5" s="12">
        <f t="shared" si="4"/>
        <v>103.8</v>
      </c>
      <c r="T5" s="12">
        <f t="shared" si="4"/>
        <v>111.352</v>
      </c>
      <c r="U5" s="12">
        <f t="shared" si="4"/>
        <v>67.930000000000007</v>
      </c>
      <c r="V5" s="12">
        <f t="shared" si="4"/>
        <v>61.621000000000002</v>
      </c>
      <c r="W5" s="12">
        <f t="shared" si="4"/>
        <v>164.34900000000002</v>
      </c>
      <c r="X5" s="133">
        <f>X3-X4</f>
        <v>180.64410840000005</v>
      </c>
      <c r="Y5" s="12">
        <f t="shared" ref="Y5:AM5" si="5">Y3-Y4</f>
        <v>212.68693239000001</v>
      </c>
      <c r="Z5" s="12">
        <f t="shared" si="5"/>
        <v>255.22431886800001</v>
      </c>
      <c r="AA5" s="12">
        <f t="shared" si="5"/>
        <v>306.26918264159997</v>
      </c>
      <c r="AB5" s="12">
        <f t="shared" si="5"/>
        <v>352.20956003783999</v>
      </c>
      <c r="AC5" s="12">
        <f t="shared" si="5"/>
        <v>387.430516041624</v>
      </c>
      <c r="AD5" s="12">
        <f t="shared" si="5"/>
        <v>426.17356764578642</v>
      </c>
      <c r="AE5" s="12">
        <f t="shared" si="5"/>
        <v>460.26745305744942</v>
      </c>
      <c r="AF5" s="12">
        <f t="shared" si="5"/>
        <v>483.28082571032189</v>
      </c>
      <c r="AG5" s="12">
        <f t="shared" si="5"/>
        <v>507.44486699583803</v>
      </c>
      <c r="AH5" s="12">
        <f t="shared" si="5"/>
        <v>517.59376433575483</v>
      </c>
      <c r="AI5" s="12">
        <f t="shared" si="5"/>
        <v>527.94563962246991</v>
      </c>
      <c r="AJ5" s="12">
        <f t="shared" si="5"/>
        <v>538.50455241491932</v>
      </c>
      <c r="AK5" s="12">
        <f t="shared" si="5"/>
        <v>549.27464346321767</v>
      </c>
      <c r="AL5" s="12">
        <f t="shared" si="5"/>
        <v>560.26013633248203</v>
      </c>
      <c r="AM5" s="12">
        <f t="shared" si="5"/>
        <v>571.46533905913179</v>
      </c>
    </row>
    <row r="6" spans="1:97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U6-H6</f>
        <v>0</v>
      </c>
      <c r="J6" s="14">
        <v>1.5940000000000001</v>
      </c>
      <c r="K6" s="31">
        <f>V6-J6</f>
        <v>1.22</v>
      </c>
      <c r="L6" s="14">
        <v>0</v>
      </c>
      <c r="M6" s="31">
        <f>W6-L6</f>
        <v>3.9E-2</v>
      </c>
      <c r="N6" s="14">
        <v>0</v>
      </c>
      <c r="Q6" s="14">
        <v>1.395</v>
      </c>
      <c r="R6" s="14">
        <v>0.08</v>
      </c>
      <c r="S6" s="14">
        <v>0</v>
      </c>
      <c r="T6" s="14">
        <v>0</v>
      </c>
      <c r="U6" s="14">
        <v>0</v>
      </c>
      <c r="V6" s="14">
        <v>2.8140000000000001</v>
      </c>
      <c r="W6" s="14">
        <v>3.9E-2</v>
      </c>
      <c r="X6" s="134">
        <f>AVERAGE(U6:W6)</f>
        <v>0.95100000000000007</v>
      </c>
      <c r="Y6" s="14">
        <f>AVERAGE(Q6:X6)</f>
        <v>0.65987499999999999</v>
      </c>
      <c r="Z6" s="14">
        <f t="shared" ref="Z6:AM6" si="6">AVERAGE(R6:Y6)</f>
        <v>0.56798437499999999</v>
      </c>
      <c r="AA6" s="14">
        <f t="shared" si="6"/>
        <v>0.62898242187499998</v>
      </c>
      <c r="AB6" s="14">
        <f t="shared" si="6"/>
        <v>0.70760522460937492</v>
      </c>
      <c r="AC6" s="14">
        <f t="shared" si="6"/>
        <v>0.79605587768554675</v>
      </c>
      <c r="AD6" s="14">
        <f t="shared" si="6"/>
        <v>0.89556286239624006</v>
      </c>
      <c r="AE6" s="14">
        <f t="shared" si="6"/>
        <v>0.65575822019577013</v>
      </c>
      <c r="AF6" s="14">
        <f t="shared" si="6"/>
        <v>0.73285299772024137</v>
      </c>
      <c r="AG6" s="14">
        <f t="shared" si="6"/>
        <v>0.70558462243527176</v>
      </c>
      <c r="AH6" s="14">
        <f t="shared" si="6"/>
        <v>0.71129832523968051</v>
      </c>
      <c r="AI6" s="14">
        <f t="shared" si="6"/>
        <v>0.7292125690196406</v>
      </c>
      <c r="AJ6" s="14">
        <f t="shared" si="6"/>
        <v>0.74174133741272075</v>
      </c>
      <c r="AK6" s="14">
        <f t="shared" si="6"/>
        <v>0.74600835151313905</v>
      </c>
      <c r="AL6" s="14">
        <f t="shared" si="6"/>
        <v>0.73975241074158815</v>
      </c>
      <c r="AM6" s="14">
        <f t="shared" si="6"/>
        <v>0.72027610428475664</v>
      </c>
    </row>
    <row r="7" spans="1:97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U7-H7</f>
        <v>17.991</v>
      </c>
      <c r="J7" s="14">
        <v>20.856999999999999</v>
      </c>
      <c r="K7" s="31">
        <f>V7-J7</f>
        <v>33.997999999999998</v>
      </c>
      <c r="L7" s="14">
        <v>48.915999999999997</v>
      </c>
      <c r="M7" s="31">
        <f>W7-L7</f>
        <v>60.022999999999996</v>
      </c>
      <c r="N7" s="14">
        <v>58.933999999999997</v>
      </c>
      <c r="Q7" s="14">
        <v>76.444000000000003</v>
      </c>
      <c r="R7" s="14">
        <v>76.498000000000005</v>
      </c>
      <c r="S7" s="14">
        <v>78.908000000000001</v>
      </c>
      <c r="T7" s="14">
        <v>82.908000000000001</v>
      </c>
      <c r="U7" s="14">
        <v>58.069000000000003</v>
      </c>
      <c r="V7" s="14">
        <v>54.854999999999997</v>
      </c>
      <c r="W7" s="14">
        <v>108.93899999999999</v>
      </c>
      <c r="X7" s="134">
        <f>X5*0.62</f>
        <v>111.99934720800003</v>
      </c>
      <c r="Y7" s="27">
        <f>Y5*0.63</f>
        <v>133.99276740569999</v>
      </c>
      <c r="Z7" s="27">
        <f t="shared" ref="Z7:AM7" si="7">Z5*0.63</f>
        <v>160.79132088684</v>
      </c>
      <c r="AA7" s="27">
        <f t="shared" si="7"/>
        <v>192.94958506420798</v>
      </c>
      <c r="AB7" s="27">
        <f t="shared" si="7"/>
        <v>221.8920228238392</v>
      </c>
      <c r="AC7" s="27">
        <f t="shared" si="7"/>
        <v>244.08122510622312</v>
      </c>
      <c r="AD7" s="27">
        <f t="shared" si="7"/>
        <v>268.48934761684546</v>
      </c>
      <c r="AE7" s="27">
        <f t="shared" si="7"/>
        <v>289.96849542619316</v>
      </c>
      <c r="AF7" s="27">
        <f t="shared" si="7"/>
        <v>304.46692019750282</v>
      </c>
      <c r="AG7" s="27">
        <f t="shared" si="7"/>
        <v>319.69026620737793</v>
      </c>
      <c r="AH7" s="27">
        <f t="shared" si="7"/>
        <v>326.08407153152552</v>
      </c>
      <c r="AI7" s="27">
        <f t="shared" si="7"/>
        <v>332.60575296215603</v>
      </c>
      <c r="AJ7" s="27">
        <f t="shared" si="7"/>
        <v>339.25786802139919</v>
      </c>
      <c r="AK7" s="27">
        <f t="shared" si="7"/>
        <v>346.04302538182714</v>
      </c>
      <c r="AL7" s="27">
        <f t="shared" si="7"/>
        <v>352.96388588946371</v>
      </c>
      <c r="AM7" s="27">
        <f t="shared" si="7"/>
        <v>360.02316360725303</v>
      </c>
    </row>
    <row r="8" spans="1:97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N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N8" s="12">
        <f t="shared" si="8"/>
        <v>32.146000000000015</v>
      </c>
      <c r="O8" s="154"/>
      <c r="Q8" s="12">
        <f t="shared" ref="Q8:X8" si="9">Q5+Q6-Q7</f>
        <v>14.377999999999986</v>
      </c>
      <c r="R8" s="12">
        <f t="shared" si="9"/>
        <v>22.200999999999993</v>
      </c>
      <c r="S8" s="12">
        <f t="shared" si="9"/>
        <v>24.891999999999996</v>
      </c>
      <c r="T8" s="12">
        <f t="shared" si="9"/>
        <v>28.444000000000003</v>
      </c>
      <c r="U8" s="12">
        <f t="shared" si="9"/>
        <v>9.8610000000000042</v>
      </c>
      <c r="V8" s="12">
        <f t="shared" si="9"/>
        <v>9.5800000000000054</v>
      </c>
      <c r="W8" s="12">
        <f t="shared" si="9"/>
        <v>55.449000000000012</v>
      </c>
      <c r="X8" s="41">
        <f t="shared" si="9"/>
        <v>69.595761192000012</v>
      </c>
      <c r="Y8" s="12">
        <f t="shared" ref="Y8:AM8" si="10">Y5+Y6-Y7</f>
        <v>79.354039984300016</v>
      </c>
      <c r="Z8" s="12">
        <f t="shared" si="10"/>
        <v>95.000982356160023</v>
      </c>
      <c r="AA8" s="12">
        <f t="shared" si="10"/>
        <v>113.94857999926697</v>
      </c>
      <c r="AB8" s="12">
        <f t="shared" si="10"/>
        <v>131.02514243861017</v>
      </c>
      <c r="AC8" s="12">
        <f t="shared" si="10"/>
        <v>144.14534681308643</v>
      </c>
      <c r="AD8" s="12">
        <f t="shared" si="10"/>
        <v>158.57978289133717</v>
      </c>
      <c r="AE8" s="12">
        <f t="shared" si="10"/>
        <v>170.95471585145202</v>
      </c>
      <c r="AF8" s="12">
        <f t="shared" si="10"/>
        <v>179.54675851053929</v>
      </c>
      <c r="AG8" s="12">
        <f t="shared" si="10"/>
        <v>188.46018541089535</v>
      </c>
      <c r="AH8" s="12">
        <f t="shared" si="10"/>
        <v>192.22099112946898</v>
      </c>
      <c r="AI8" s="12">
        <f t="shared" si="10"/>
        <v>196.06909922933352</v>
      </c>
      <c r="AJ8" s="12">
        <f t="shared" si="10"/>
        <v>199.98842573093282</v>
      </c>
      <c r="AK8" s="12">
        <f t="shared" si="10"/>
        <v>203.97762643290372</v>
      </c>
      <c r="AL8" s="12">
        <f t="shared" si="10"/>
        <v>208.03600285375995</v>
      </c>
      <c r="AM8" s="12">
        <f t="shared" si="10"/>
        <v>212.16245155616349</v>
      </c>
    </row>
    <row r="9" spans="1:97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U9-H9</f>
        <v>3.9570000000000016</v>
      </c>
      <c r="J9" s="14">
        <v>4.4669999999999996</v>
      </c>
      <c r="K9" s="31">
        <f>V9-J9</f>
        <v>4.6510000000000007</v>
      </c>
      <c r="L9" s="14">
        <v>4.1790000000000003</v>
      </c>
      <c r="M9" s="31">
        <f>W9-L9</f>
        <v>4.6049999999999986</v>
      </c>
      <c r="N9" s="14">
        <v>4.4569999999999999</v>
      </c>
      <c r="Q9" s="14">
        <f>-0.022+11.905-0.079</f>
        <v>11.803999999999998</v>
      </c>
      <c r="R9" s="14">
        <f>1.158-0.012+0.055</f>
        <v>1.2009999999999998</v>
      </c>
      <c r="S9" s="14">
        <f>0.976-0.018</f>
        <v>0.95799999999999996</v>
      </c>
      <c r="T9" s="14">
        <f>1.023-0.167</f>
        <v>0.85599999999999987</v>
      </c>
      <c r="U9" s="14">
        <f>8.743-0.078</f>
        <v>8.6650000000000009</v>
      </c>
      <c r="V9" s="14">
        <v>9.1180000000000003</v>
      </c>
      <c r="W9" s="14">
        <f>-0.012+8.796</f>
        <v>8.7839999999999989</v>
      </c>
      <c r="X9" s="134">
        <f>AVERAGE(U9:W9)</f>
        <v>8.8556666666666661</v>
      </c>
      <c r="Y9" s="1">
        <v>2.9</v>
      </c>
      <c r="Z9" s="1">
        <v>3.9</v>
      </c>
      <c r="AA9" s="1">
        <v>4.9000000000000004</v>
      </c>
      <c r="AB9" s="1">
        <v>5.9</v>
      </c>
      <c r="AC9" s="1">
        <v>6.9</v>
      </c>
      <c r="AD9" s="1">
        <v>7.9</v>
      </c>
      <c r="AE9" s="1">
        <v>8.9</v>
      </c>
      <c r="AF9" s="1">
        <v>9.9</v>
      </c>
      <c r="AG9" s="1">
        <v>10.9</v>
      </c>
      <c r="AH9" s="1">
        <v>11.9</v>
      </c>
      <c r="AI9" s="1">
        <v>12.9</v>
      </c>
      <c r="AJ9" s="1">
        <v>13.9</v>
      </c>
      <c r="AK9" s="1">
        <v>14.9</v>
      </c>
      <c r="AL9" s="1">
        <v>15.9</v>
      </c>
      <c r="AM9" s="1">
        <v>16.899999999999999</v>
      </c>
    </row>
    <row r="10" spans="1:97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N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N10" s="14">
        <f t="shared" si="11"/>
        <v>27.689000000000014</v>
      </c>
      <c r="Q10" s="14">
        <f t="shared" ref="Q10:X10" si="12">Q8-Q9</f>
        <v>2.5739999999999874</v>
      </c>
      <c r="R10" s="14">
        <f t="shared" si="12"/>
        <v>20.999999999999993</v>
      </c>
      <c r="S10" s="14">
        <f t="shared" si="12"/>
        <v>23.933999999999997</v>
      </c>
      <c r="T10" s="14">
        <f t="shared" si="12"/>
        <v>27.588000000000001</v>
      </c>
      <c r="U10" s="14">
        <f t="shared" si="12"/>
        <v>1.1960000000000033</v>
      </c>
      <c r="V10" s="14">
        <f t="shared" si="12"/>
        <v>0.46200000000000507</v>
      </c>
      <c r="W10" s="14">
        <f t="shared" si="12"/>
        <v>46.665000000000013</v>
      </c>
      <c r="X10" s="44">
        <f t="shared" si="12"/>
        <v>60.740094525333348</v>
      </c>
      <c r="Y10" s="14">
        <f t="shared" ref="Y10:AM10" si="13">Y8-Y9</f>
        <v>76.45403998430001</v>
      </c>
      <c r="Z10" s="14">
        <f t="shared" si="13"/>
        <v>91.100982356160017</v>
      </c>
      <c r="AA10" s="14">
        <f t="shared" si="13"/>
        <v>109.04857999926696</v>
      </c>
      <c r="AB10" s="14">
        <f t="shared" si="13"/>
        <v>125.12514243861017</v>
      </c>
      <c r="AC10" s="14">
        <f t="shared" si="13"/>
        <v>137.24534681308643</v>
      </c>
      <c r="AD10" s="14">
        <f t="shared" si="13"/>
        <v>150.67978289133717</v>
      </c>
      <c r="AE10" s="14">
        <f t="shared" si="13"/>
        <v>162.05471585145202</v>
      </c>
      <c r="AF10" s="14">
        <f t="shared" si="13"/>
        <v>169.64675851053929</v>
      </c>
      <c r="AG10" s="14">
        <f t="shared" si="13"/>
        <v>177.56018541089534</v>
      </c>
      <c r="AH10" s="14">
        <f t="shared" si="13"/>
        <v>180.32099112946898</v>
      </c>
      <c r="AI10" s="14">
        <f t="shared" si="13"/>
        <v>183.16909922933351</v>
      </c>
      <c r="AJ10" s="14">
        <f t="shared" si="13"/>
        <v>186.08842573093281</v>
      </c>
      <c r="AK10" s="14">
        <f t="shared" si="13"/>
        <v>189.07762643290371</v>
      </c>
      <c r="AL10" s="14">
        <f t="shared" si="13"/>
        <v>192.13600285375995</v>
      </c>
      <c r="AM10" s="14">
        <f t="shared" si="13"/>
        <v>195.26245155616348</v>
      </c>
    </row>
    <row r="11" spans="1:97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U11-H11</f>
        <v>-3.137</v>
      </c>
      <c r="J11" s="14">
        <v>-2.8559999999999999</v>
      </c>
      <c r="K11" s="31">
        <f>V11-J11</f>
        <v>1.5899999999999999</v>
      </c>
      <c r="L11" s="14">
        <v>6.4119999999999999</v>
      </c>
      <c r="M11" s="31">
        <f>W11-L11</f>
        <v>2.8020000000000005</v>
      </c>
      <c r="N11" s="14">
        <v>5.7690000000000001</v>
      </c>
      <c r="Q11" s="14">
        <v>1.387</v>
      </c>
      <c r="R11" s="14">
        <v>2.8479999999999999</v>
      </c>
      <c r="S11" s="14">
        <v>5.15</v>
      </c>
      <c r="T11" s="14">
        <v>5.3029999999999999</v>
      </c>
      <c r="U11" s="14">
        <v>-0.189</v>
      </c>
      <c r="V11" s="14">
        <v>-1.266</v>
      </c>
      <c r="W11" s="14">
        <v>9.2140000000000004</v>
      </c>
      <c r="X11" s="134">
        <f>X10-X12</f>
        <v>12.148018905066664</v>
      </c>
      <c r="Y11" s="27">
        <f>Y10*(1-(1-Y19))</f>
        <v>15.290807996859998</v>
      </c>
      <c r="Z11" s="27">
        <f t="shared" ref="Z11:AM11" si="14">Z10*(1-(1-Z19))</f>
        <v>18.220196471232001</v>
      </c>
      <c r="AA11" s="27">
        <f t="shared" si="14"/>
        <v>21.809715999853388</v>
      </c>
      <c r="AB11" s="27">
        <f t="shared" si="14"/>
        <v>25.025028487722029</v>
      </c>
      <c r="AC11" s="27">
        <f t="shared" si="14"/>
        <v>27.44906936261728</v>
      </c>
      <c r="AD11" s="27">
        <f t="shared" si="14"/>
        <v>30.135956578267429</v>
      </c>
      <c r="AE11" s="27">
        <f t="shared" si="14"/>
        <v>32.410943170290395</v>
      </c>
      <c r="AF11" s="27">
        <f t="shared" si="14"/>
        <v>33.929351702107851</v>
      </c>
      <c r="AG11" s="27">
        <f t="shared" si="14"/>
        <v>35.512037082179063</v>
      </c>
      <c r="AH11" s="27">
        <f t="shared" si="14"/>
        <v>36.06419822589379</v>
      </c>
      <c r="AI11" s="27">
        <f t="shared" si="14"/>
        <v>36.633819845866697</v>
      </c>
      <c r="AJ11" s="27">
        <f t="shared" si="14"/>
        <v>37.217685146186554</v>
      </c>
      <c r="AK11" s="27">
        <f t="shared" si="14"/>
        <v>37.815525286580737</v>
      </c>
      <c r="AL11" s="27">
        <f t="shared" si="14"/>
        <v>38.427200570751978</v>
      </c>
      <c r="AM11" s="27">
        <f t="shared" si="14"/>
        <v>39.052490311232688</v>
      </c>
    </row>
    <row r="12" spans="1:97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N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N12" s="12">
        <f t="shared" si="15"/>
        <v>21.920000000000016</v>
      </c>
      <c r="O12" s="156"/>
      <c r="P12" s="88"/>
      <c r="Q12" s="12">
        <f t="shared" ref="Q12:W12" si="16">Q10-Q11</f>
        <v>1.1869999999999874</v>
      </c>
      <c r="R12" s="12">
        <f t="shared" si="16"/>
        <v>18.151999999999994</v>
      </c>
      <c r="S12" s="12">
        <f t="shared" si="16"/>
        <v>18.783999999999999</v>
      </c>
      <c r="T12" s="12">
        <f t="shared" si="16"/>
        <v>22.285</v>
      </c>
      <c r="U12" s="12">
        <f t="shared" si="16"/>
        <v>1.3850000000000033</v>
      </c>
      <c r="V12" s="12">
        <f t="shared" si="16"/>
        <v>1.7280000000000051</v>
      </c>
      <c r="W12" s="12">
        <f t="shared" si="16"/>
        <v>37.451000000000015</v>
      </c>
      <c r="X12" s="133">
        <f>X10*(1-X19)</f>
        <v>48.592075620266684</v>
      </c>
      <c r="Y12" s="12">
        <f t="shared" ref="Y12:AM12" si="17">Y10-Y11</f>
        <v>61.163231987440014</v>
      </c>
      <c r="Z12" s="12">
        <f t="shared" si="17"/>
        <v>72.880785884928017</v>
      </c>
      <c r="AA12" s="12">
        <f t="shared" si="17"/>
        <v>87.238863999413581</v>
      </c>
      <c r="AB12" s="12">
        <f t="shared" si="17"/>
        <v>100.10011395088814</v>
      </c>
      <c r="AC12" s="12">
        <f t="shared" si="17"/>
        <v>109.79627745046915</v>
      </c>
      <c r="AD12" s="12">
        <f t="shared" si="17"/>
        <v>120.54382631306974</v>
      </c>
      <c r="AE12" s="12">
        <f t="shared" si="17"/>
        <v>129.64377268116164</v>
      </c>
      <c r="AF12" s="12">
        <f t="shared" si="17"/>
        <v>135.71740680843143</v>
      </c>
      <c r="AG12" s="12">
        <f t="shared" si="17"/>
        <v>142.04814832871628</v>
      </c>
      <c r="AH12" s="12">
        <f t="shared" si="17"/>
        <v>144.25679290357519</v>
      </c>
      <c r="AI12" s="12">
        <f t="shared" si="17"/>
        <v>146.53527938346681</v>
      </c>
      <c r="AJ12" s="12">
        <f t="shared" si="17"/>
        <v>148.87074058474627</v>
      </c>
      <c r="AK12" s="12">
        <f t="shared" si="17"/>
        <v>151.26210114632298</v>
      </c>
      <c r="AL12" s="12">
        <f t="shared" si="17"/>
        <v>153.70880228300797</v>
      </c>
      <c r="AM12" s="12">
        <f t="shared" si="17"/>
        <v>156.20996124493081</v>
      </c>
      <c r="AN12" s="12">
        <f t="shared" ref="AN12:BS12" si="18">AM12*(1+$AP$15)</f>
        <v>153.08576202003218</v>
      </c>
      <c r="AO12" s="12">
        <f t="shared" si="18"/>
        <v>150.02404677963153</v>
      </c>
      <c r="AP12" s="12">
        <f t="shared" si="18"/>
        <v>147.0235658440389</v>
      </c>
      <c r="AQ12" s="12">
        <f t="shared" si="18"/>
        <v>144.08309452715812</v>
      </c>
      <c r="AR12" s="12">
        <f t="shared" si="18"/>
        <v>141.20143263661495</v>
      </c>
      <c r="AS12" s="12">
        <f t="shared" si="18"/>
        <v>138.37740398388266</v>
      </c>
      <c r="AT12" s="12">
        <f t="shared" si="18"/>
        <v>135.60985590420501</v>
      </c>
      <c r="AU12" s="12">
        <f t="shared" si="18"/>
        <v>132.8976587861209</v>
      </c>
      <c r="AV12" s="12">
        <f t="shared" si="18"/>
        <v>130.23970561039849</v>
      </c>
      <c r="AW12" s="12">
        <f t="shared" si="18"/>
        <v>127.63491149819052</v>
      </c>
      <c r="AX12" s="12">
        <f t="shared" si="18"/>
        <v>125.08221326822671</v>
      </c>
      <c r="AY12" s="12">
        <f t="shared" si="18"/>
        <v>122.58056900286218</v>
      </c>
      <c r="AZ12" s="12">
        <f t="shared" si="18"/>
        <v>120.12895762280493</v>
      </c>
      <c r="BA12" s="12">
        <f t="shared" si="18"/>
        <v>117.72637847034883</v>
      </c>
      <c r="BB12" s="12">
        <f t="shared" si="18"/>
        <v>115.37185090094185</v>
      </c>
      <c r="BC12" s="12">
        <f t="shared" si="18"/>
        <v>113.06441388292301</v>
      </c>
      <c r="BD12" s="12">
        <f t="shared" si="18"/>
        <v>110.80312560526454</v>
      </c>
      <c r="BE12" s="12">
        <f t="shared" si="18"/>
        <v>108.58706309315924</v>
      </c>
      <c r="BF12" s="12">
        <f t="shared" si="18"/>
        <v>106.41532183129605</v>
      </c>
      <c r="BG12" s="12">
        <f t="shared" si="18"/>
        <v>104.28701539467014</v>
      </c>
      <c r="BH12" s="12">
        <f t="shared" si="18"/>
        <v>102.20127508677673</v>
      </c>
      <c r="BI12" s="12">
        <f t="shared" si="18"/>
        <v>100.1572495850412</v>
      </c>
      <c r="BJ12" s="12">
        <f t="shared" si="18"/>
        <v>98.154104593340378</v>
      </c>
      <c r="BK12" s="12">
        <f t="shared" si="18"/>
        <v>96.191022501473569</v>
      </c>
      <c r="BL12" s="12">
        <f t="shared" si="18"/>
        <v>94.267202051444102</v>
      </c>
      <c r="BM12" s="12">
        <f t="shared" si="18"/>
        <v>92.381858010415215</v>
      </c>
      <c r="BN12" s="12">
        <f t="shared" si="18"/>
        <v>90.534220850206907</v>
      </c>
      <c r="BO12" s="12">
        <f t="shared" si="18"/>
        <v>88.723536433202767</v>
      </c>
      <c r="BP12" s="12">
        <f t="shared" si="18"/>
        <v>86.949065704538711</v>
      </c>
      <c r="BQ12" s="12">
        <f t="shared" si="18"/>
        <v>85.210084390447932</v>
      </c>
      <c r="BR12" s="12">
        <f t="shared" si="18"/>
        <v>83.505882702638971</v>
      </c>
      <c r="BS12" s="12">
        <f t="shared" si="18"/>
        <v>81.835765048586197</v>
      </c>
      <c r="BT12" s="12">
        <f t="shared" ref="BT12:CS12" si="19">BS12*(1+$AP$15)</f>
        <v>80.199049747614467</v>
      </c>
      <c r="BU12" s="12">
        <f t="shared" si="19"/>
        <v>78.595068752662172</v>
      </c>
      <c r="BV12" s="12">
        <f t="shared" si="19"/>
        <v>77.023167377608928</v>
      </c>
      <c r="BW12" s="12">
        <f t="shared" si="19"/>
        <v>75.482704030056752</v>
      </c>
      <c r="BX12" s="12">
        <f t="shared" si="19"/>
        <v>73.973049949455614</v>
      </c>
      <c r="BY12" s="12">
        <f t="shared" si="19"/>
        <v>72.493588950466503</v>
      </c>
      <c r="BZ12" s="12">
        <f t="shared" si="19"/>
        <v>71.043717171457175</v>
      </c>
      <c r="CA12" s="12">
        <f t="shared" si="19"/>
        <v>69.622842828028027</v>
      </c>
      <c r="CB12" s="12">
        <f t="shared" si="19"/>
        <v>68.23038597146747</v>
      </c>
      <c r="CC12" s="12">
        <f t="shared" si="19"/>
        <v>66.865778252038126</v>
      </c>
      <c r="CD12" s="12">
        <f t="shared" si="19"/>
        <v>65.528462686997358</v>
      </c>
      <c r="CE12" s="12">
        <f t="shared" si="19"/>
        <v>64.217893433257416</v>
      </c>
      <c r="CF12" s="12">
        <f t="shared" si="19"/>
        <v>62.933535564592269</v>
      </c>
      <c r="CG12" s="12">
        <f t="shared" si="19"/>
        <v>61.67486485330042</v>
      </c>
      <c r="CH12" s="12">
        <f t="shared" si="19"/>
        <v>60.441367556234411</v>
      </c>
      <c r="CI12" s="12">
        <f t="shared" si="19"/>
        <v>59.232540205109721</v>
      </c>
      <c r="CJ12" s="12">
        <f t="shared" si="19"/>
        <v>58.047889401007524</v>
      </c>
      <c r="CK12" s="12">
        <f t="shared" si="19"/>
        <v>56.886931612987375</v>
      </c>
      <c r="CL12" s="12">
        <f t="shared" si="19"/>
        <v>55.749192980727628</v>
      </c>
      <c r="CM12" s="12">
        <f t="shared" si="19"/>
        <v>54.634209121113074</v>
      </c>
      <c r="CN12" s="12">
        <f t="shared" si="19"/>
        <v>53.541524938690813</v>
      </c>
      <c r="CO12" s="12">
        <f t="shared" si="19"/>
        <v>52.470694439916997</v>
      </c>
      <c r="CP12" s="12">
        <f t="shared" si="19"/>
        <v>51.421280551118656</v>
      </c>
      <c r="CQ12" s="12">
        <f t="shared" si="19"/>
        <v>50.392854940096285</v>
      </c>
      <c r="CR12" s="12">
        <f t="shared" si="19"/>
        <v>49.384997841294357</v>
      </c>
      <c r="CS12" s="12">
        <f t="shared" si="19"/>
        <v>48.397297884468472</v>
      </c>
    </row>
    <row r="13" spans="1:97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>
        <f>N12/N14</f>
        <v>0.12802065599267592</v>
      </c>
      <c r="O13" s="43"/>
      <c r="P13" s="26"/>
      <c r="Q13" s="26">
        <f t="shared" ref="Q13:AM13" si="21">Q12/Q14</f>
        <v>1.1214705682000902E-2</v>
      </c>
      <c r="R13" s="26">
        <f t="shared" si="21"/>
        <v>0.12101333333333329</v>
      </c>
      <c r="S13" s="26">
        <f t="shared" si="21"/>
        <v>0.12522666666666665</v>
      </c>
      <c r="T13" s="26">
        <f t="shared" si="21"/>
        <v>0.14856666666666668</v>
      </c>
      <c r="U13" s="26">
        <f t="shared" si="21"/>
        <v>9.0285867154261852E-3</v>
      </c>
      <c r="V13" s="26">
        <f t="shared" si="21"/>
        <v>1.0497680513797826E-2</v>
      </c>
      <c r="W13" s="26">
        <f t="shared" si="21"/>
        <v>0.21907666815291649</v>
      </c>
      <c r="X13" s="43">
        <f t="shared" si="21"/>
        <v>0.28424848536814995</v>
      </c>
      <c r="Y13" s="27">
        <f t="shared" si="21"/>
        <v>0.35778582887699228</v>
      </c>
      <c r="Z13" s="27">
        <f t="shared" si="21"/>
        <v>0.42632986419684732</v>
      </c>
      <c r="AA13" s="27">
        <f t="shared" si="21"/>
        <v>0.51032014254457658</v>
      </c>
      <c r="AB13" s="27">
        <f t="shared" si="21"/>
        <v>0.58555444303457427</v>
      </c>
      <c r="AC13" s="27">
        <f t="shared" si="21"/>
        <v>0.64227397504584571</v>
      </c>
      <c r="AD13" s="27">
        <f t="shared" si="21"/>
        <v>0.70514378347897722</v>
      </c>
      <c r="AE13" s="27">
        <f t="shared" si="21"/>
        <v>0.75837563124517315</v>
      </c>
      <c r="AF13" s="27">
        <f t="shared" si="21"/>
        <v>0.79390449638047289</v>
      </c>
      <c r="AG13" s="27">
        <f t="shared" si="21"/>
        <v>0.83093735956707226</v>
      </c>
      <c r="AH13" s="27">
        <f t="shared" si="21"/>
        <v>0.84385724140184581</v>
      </c>
      <c r="AI13" s="27">
        <f t="shared" si="21"/>
        <v>0.8571856765957292</v>
      </c>
      <c r="AJ13" s="27">
        <f t="shared" si="21"/>
        <v>0.87084739613797668</v>
      </c>
      <c r="AK13" s="27">
        <f t="shared" si="21"/>
        <v>0.88483610950163882</v>
      </c>
      <c r="AL13" s="27">
        <f t="shared" si="21"/>
        <v>0.89914854796765853</v>
      </c>
      <c r="AM13" s="27">
        <f t="shared" si="21"/>
        <v>0.91377954772464398</v>
      </c>
    </row>
    <row r="14" spans="1:97" ht="12.75" customHeight="1" x14ac:dyDescent="0.2">
      <c r="B14" s="1" t="s">
        <v>4</v>
      </c>
      <c r="E14" s="32"/>
      <c r="F14" s="27">
        <v>150.529032</v>
      </c>
      <c r="G14" s="32">
        <f>T14</f>
        <v>150</v>
      </c>
      <c r="H14" s="27">
        <v>150.700785</v>
      </c>
      <c r="I14" s="32">
        <f>U14</f>
        <v>153.40163899999999</v>
      </c>
      <c r="J14" s="27">
        <v>158.57798500000001</v>
      </c>
      <c r="K14" s="32">
        <f>V14</f>
        <v>164.60779099999999</v>
      </c>
      <c r="L14" s="27">
        <v>170.828776</v>
      </c>
      <c r="M14" s="32">
        <f>W14</f>
        <v>170.949286</v>
      </c>
      <c r="N14" s="27">
        <v>171.22236899999999</v>
      </c>
      <c r="Q14" s="27">
        <v>105.84317</v>
      </c>
      <c r="R14" s="1">
        <v>150</v>
      </c>
      <c r="S14" s="1">
        <v>150</v>
      </c>
      <c r="T14" s="1">
        <v>150</v>
      </c>
      <c r="U14" s="27">
        <v>153.40163899999999</v>
      </c>
      <c r="V14" s="27">
        <v>164.60779099999999</v>
      </c>
      <c r="W14" s="27">
        <v>170.949286</v>
      </c>
      <c r="X14" s="135">
        <f>W14</f>
        <v>170.949286</v>
      </c>
      <c r="Y14" s="27">
        <f>X14</f>
        <v>170.949286</v>
      </c>
      <c r="Z14" s="27">
        <f t="shared" ref="Z14:AM14" si="22">Y14</f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  <c r="AM14" s="27">
        <f t="shared" si="22"/>
        <v>170.949286</v>
      </c>
    </row>
    <row r="15" spans="1:97" ht="12.75" customHeight="1" x14ac:dyDescent="0.25">
      <c r="AO15" s="45" t="s">
        <v>87</v>
      </c>
      <c r="AP15" s="62">
        <v>-0.02</v>
      </c>
    </row>
    <row r="16" spans="1:97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:N16" si="24">M5/M3</f>
        <v>0.83166253419972636</v>
      </c>
      <c r="N16" s="23">
        <f t="shared" si="24"/>
        <v>0.82760876676480211</v>
      </c>
      <c r="Q16" s="23">
        <f t="shared" ref="Q16:R16" si="25">Q5/Q3</f>
        <v>0.85328664255794195</v>
      </c>
      <c r="R16" s="23">
        <f t="shared" si="25"/>
        <v>0.86532184472834472</v>
      </c>
      <c r="S16" s="23">
        <f t="shared" ref="S16:T16" si="26">S5/S3</f>
        <v>0.8610677904237316</v>
      </c>
      <c r="T16" s="23">
        <f t="shared" si="26"/>
        <v>0.85725283692857257</v>
      </c>
      <c r="U16" s="23">
        <f>U5/U3</f>
        <v>0.85475570319479577</v>
      </c>
      <c r="V16" s="23">
        <f>V5/V3</f>
        <v>0.85729986922284984</v>
      </c>
      <c r="W16" s="23">
        <f t="shared" ref="W16" si="27">W5/W3</f>
        <v>0.84829230777171583</v>
      </c>
      <c r="X16" s="136">
        <f>X5/X3</f>
        <v>0.84000000000000008</v>
      </c>
      <c r="Y16" s="23">
        <f t="shared" ref="Y16:AM16" si="28">Y5/Y3</f>
        <v>0.86</v>
      </c>
      <c r="Z16" s="23">
        <f t="shared" si="28"/>
        <v>0.86</v>
      </c>
      <c r="AA16" s="23">
        <f t="shared" si="28"/>
        <v>0.85999999999999988</v>
      </c>
      <c r="AB16" s="23">
        <f t="shared" si="28"/>
        <v>0.86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</v>
      </c>
      <c r="AJ16" s="23">
        <f t="shared" si="28"/>
        <v>0.86</v>
      </c>
      <c r="AK16" s="23">
        <f t="shared" si="28"/>
        <v>0.85999999999999988</v>
      </c>
      <c r="AL16" s="23">
        <f t="shared" si="28"/>
        <v>0.85999999999999988</v>
      </c>
      <c r="AM16" s="23">
        <f t="shared" si="28"/>
        <v>0.8600000000000001</v>
      </c>
      <c r="AO16" s="46" t="s">
        <v>88</v>
      </c>
      <c r="AP16" s="63">
        <v>7.0000000000000007E-2</v>
      </c>
    </row>
    <row r="17" spans="1:43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:N17" si="30">M8/M3</f>
        <v>0.19058866279069778</v>
      </c>
      <c r="N17" s="23">
        <f t="shared" si="30"/>
        <v>0.29209828081270683</v>
      </c>
      <c r="Q17" s="23">
        <f t="shared" ref="Q17:R17" si="31">Q8/Q3</f>
        <v>0.13719072927301687</v>
      </c>
      <c r="R17" s="23">
        <f t="shared" si="31"/>
        <v>0.19480029481959843</v>
      </c>
      <c r="S17" s="23">
        <f t="shared" ref="S17:T17" si="32">S8/S3</f>
        <v>0.20649036068619966</v>
      </c>
      <c r="T17" s="23">
        <f t="shared" si="32"/>
        <v>0.2189785517421898</v>
      </c>
      <c r="U17" s="23">
        <f>U8/U3</f>
        <v>0.12407987618436456</v>
      </c>
      <c r="V17" s="23">
        <f>V8/V3</f>
        <v>0.13328139347227252</v>
      </c>
      <c r="W17" s="23">
        <f t="shared" ref="W17:AM17" si="33">W8/W3</f>
        <v>0.28620168162650139</v>
      </c>
      <c r="X17" s="136">
        <f>X8/X3</f>
        <v>0.32362217577465152</v>
      </c>
      <c r="Y17" s="23">
        <f t="shared" si="33"/>
        <v>0.32086820576902869</v>
      </c>
      <c r="Z17" s="23">
        <f t="shared" si="33"/>
        <v>0.3201138715490221</v>
      </c>
      <c r="AA17" s="23">
        <f t="shared" si="33"/>
        <v>0.31996617470339961</v>
      </c>
      <c r="AB17" s="23">
        <f t="shared" si="33"/>
        <v>0.31992777960115193</v>
      </c>
      <c r="AC17" s="23">
        <f t="shared" si="33"/>
        <v>0.31996704731935988</v>
      </c>
      <c r="AD17" s="23">
        <f t="shared" si="33"/>
        <v>0.32000720748570888</v>
      </c>
      <c r="AE17" s="23">
        <f t="shared" si="33"/>
        <v>0.31942527036318152</v>
      </c>
      <c r="AF17" s="23">
        <f t="shared" si="33"/>
        <v>0.31950411459447625</v>
      </c>
      <c r="AG17" s="23">
        <f t="shared" si="33"/>
        <v>0.31939580040071491</v>
      </c>
      <c r="AH17" s="23">
        <f t="shared" si="33"/>
        <v>0.31938184684950982</v>
      </c>
      <c r="AI17" s="23">
        <f t="shared" si="33"/>
        <v>0.31938785488938848</v>
      </c>
      <c r="AJ17" s="23">
        <f t="shared" si="33"/>
        <v>0.31938457225164441</v>
      </c>
      <c r="AK17" s="23">
        <f t="shared" si="33"/>
        <v>0.31936802621409244</v>
      </c>
      <c r="AL17" s="23">
        <f t="shared" si="33"/>
        <v>0.31933552086250916</v>
      </c>
      <c r="AM17" s="23">
        <f t="shared" si="33"/>
        <v>0.31928394579224129</v>
      </c>
      <c r="AO17" s="46" t="s">
        <v>89</v>
      </c>
      <c r="AP17" s="64">
        <f>NPV(AP16,Y12:CS12)</f>
        <v>1664.771245280672</v>
      </c>
    </row>
    <row r="18" spans="1:43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:N18" si="35">M12/M3</f>
        <v>0.11142698358413144</v>
      </c>
      <c r="N18" s="23">
        <f t="shared" si="35"/>
        <v>0.1991785701304839</v>
      </c>
      <c r="Q18" s="23">
        <f t="shared" ref="Q18:R18" si="36">Q12/Q3</f>
        <v>1.1326011659971446E-2</v>
      </c>
      <c r="R18" s="23">
        <f t="shared" si="36"/>
        <v>0.15927277832373993</v>
      </c>
      <c r="S18" s="23">
        <f t="shared" ref="S18:T18" si="37">S12/S3</f>
        <v>0.15582174735375118</v>
      </c>
      <c r="T18" s="23">
        <f t="shared" si="37"/>
        <v>0.17156296672671562</v>
      </c>
      <c r="U18" s="23">
        <f>U12/U3</f>
        <v>1.7427302354258722E-2</v>
      </c>
      <c r="V18" s="23">
        <f>V12/V3</f>
        <v>2.4040735691032097E-2</v>
      </c>
      <c r="W18" s="23">
        <f t="shared" ref="W18:X18" si="38">W12/W3</f>
        <v>0.19330446317506367</v>
      </c>
      <c r="X18" s="42">
        <f t="shared" si="38"/>
        <v>0.22595446860986032</v>
      </c>
      <c r="Y18" s="23">
        <f t="shared" ref="Y18:AM18" si="39">Y12/Y3</f>
        <v>0.2473136403732886</v>
      </c>
      <c r="Z18" s="23">
        <f t="shared" si="39"/>
        <v>0.24557799248532575</v>
      </c>
      <c r="AA18" s="23">
        <f t="shared" si="39"/>
        <v>0.2449656292297987</v>
      </c>
      <c r="AB18" s="23">
        <f t="shared" si="39"/>
        <v>0.24441726677866171</v>
      </c>
      <c r="AC18" s="23">
        <f t="shared" si="39"/>
        <v>0.24372060201179102</v>
      </c>
      <c r="AD18" s="23">
        <f t="shared" si="39"/>
        <v>0.24325227677048999</v>
      </c>
      <c r="AE18" s="23">
        <f t="shared" si="39"/>
        <v>0.24223664689991159</v>
      </c>
      <c r="AF18" s="23">
        <f t="shared" si="39"/>
        <v>0.24150962265821629</v>
      </c>
      <c r="AG18" s="23">
        <f t="shared" si="39"/>
        <v>0.24073828608398939</v>
      </c>
      <c r="AH18" s="23">
        <f t="shared" si="39"/>
        <v>0.23968766713464185</v>
      </c>
      <c r="AI18" s="23">
        <f t="shared" si="39"/>
        <v>0.23869946223989591</v>
      </c>
      <c r="AJ18" s="23">
        <f t="shared" si="39"/>
        <v>0.23774884785790112</v>
      </c>
      <c r="AK18" s="23">
        <f t="shared" si="39"/>
        <v>0.23683126198150989</v>
      </c>
      <c r="AL18" s="23">
        <f t="shared" si="39"/>
        <v>0.23594320100786176</v>
      </c>
      <c r="AM18" s="23">
        <f t="shared" si="39"/>
        <v>0.23508086578237733</v>
      </c>
      <c r="AO18" s="46" t="s">
        <v>8</v>
      </c>
      <c r="AP18" s="64">
        <f>Main!C11</f>
        <v>44.149000000000001</v>
      </c>
    </row>
    <row r="19" spans="1:43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:N19" si="41">M11/M10</f>
        <v>0.21182340489869955</v>
      </c>
      <c r="N19" s="23">
        <f t="shared" si="41"/>
        <v>0.20834988623641146</v>
      </c>
      <c r="Q19" s="23">
        <f>Q11/Q10</f>
        <v>0.53885003885004146</v>
      </c>
      <c r="R19" s="23">
        <f t="shared" ref="R19:V19" si="42">R11/R10</f>
        <v>0.13561904761904767</v>
      </c>
      <c r="S19" s="23">
        <f t="shared" si="42"/>
        <v>0.21517506476142731</v>
      </c>
      <c r="T19" s="23">
        <f t="shared" si="42"/>
        <v>0.1922212556183848</v>
      </c>
      <c r="U19" s="23">
        <f t="shared" si="42"/>
        <v>-0.15802675585284237</v>
      </c>
      <c r="V19" s="23">
        <f t="shared" si="42"/>
        <v>-2.7402597402597104</v>
      </c>
      <c r="W19" s="23">
        <f t="shared" ref="W19" si="43">W11/W10</f>
        <v>0.19744990892531872</v>
      </c>
      <c r="X19" s="136">
        <v>0.2</v>
      </c>
      <c r="Y19" s="23">
        <f>X19</f>
        <v>0.2</v>
      </c>
      <c r="Z19" s="23">
        <f t="shared" ref="Z19:AM19" si="44">Y19</f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M19" s="23">
        <f t="shared" si="44"/>
        <v>0.2</v>
      </c>
      <c r="AO19" s="46" t="s">
        <v>90</v>
      </c>
      <c r="AP19" s="64">
        <f>AP17+AP18</f>
        <v>1708.9202452806721</v>
      </c>
    </row>
    <row r="20" spans="1:43" ht="12.75" customHeight="1" x14ac:dyDescent="0.25">
      <c r="AO20" s="47" t="s">
        <v>91</v>
      </c>
      <c r="AP20" s="65">
        <f>AP19/Main!C7</f>
        <v>9.9807066989049318</v>
      </c>
    </row>
    <row r="21" spans="1:43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N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N21" s="23">
        <f t="shared" si="45"/>
        <v>9.8619388457967805E-2</v>
      </c>
      <c r="Q21" s="38" t="s">
        <v>71</v>
      </c>
      <c r="R21" s="23">
        <f t="shared" ref="R21:U21" si="46">R3/Q3-1</f>
        <v>8.744978674274595E-2</v>
      </c>
      <c r="S21" s="23">
        <f t="shared" si="46"/>
        <v>5.7735504703074536E-2</v>
      </c>
      <c r="T21" s="23">
        <f t="shared" si="46"/>
        <v>7.7529282941235067E-2</v>
      </c>
      <c r="U21" s="23">
        <f t="shared" si="46"/>
        <v>-0.38817035428888169</v>
      </c>
      <c r="V21" s="23">
        <f>V3/U3-1</f>
        <v>-9.5567047928227233E-2</v>
      </c>
      <c r="W21" s="23">
        <f t="shared" ref="W21" si="47">W3/V3-1</f>
        <v>1.6954144522663404</v>
      </c>
      <c r="X21" s="136">
        <v>0.11</v>
      </c>
      <c r="Y21" s="23">
        <v>0.15</v>
      </c>
      <c r="Z21" s="23">
        <v>0.2</v>
      </c>
      <c r="AA21" s="23">
        <v>0.2</v>
      </c>
      <c r="AB21" s="23">
        <v>0.15</v>
      </c>
      <c r="AC21" s="23">
        <v>0.1</v>
      </c>
      <c r="AD21" s="23">
        <v>0.1</v>
      </c>
      <c r="AE21" s="23">
        <v>0.08</v>
      </c>
      <c r="AF21" s="23">
        <v>0.05</v>
      </c>
      <c r="AG21" s="23">
        <v>0.05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M21" s="23">
        <v>0.02</v>
      </c>
      <c r="AO21" s="46" t="s">
        <v>92</v>
      </c>
      <c r="AP21" s="67">
        <f>Main!C6</f>
        <v>2.4350000000000001</v>
      </c>
      <c r="AQ21" s="49"/>
    </row>
    <row r="22" spans="1:43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N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N22" s="23">
        <f t="shared" si="49"/>
        <v>0.17617134062927486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137"/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O22" s="48" t="s">
        <v>93</v>
      </c>
      <c r="AP22" s="66">
        <f>AP20/AP21-1</f>
        <v>3.0988528537597251</v>
      </c>
    </row>
    <row r="23" spans="1:43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S23" s="38"/>
      <c r="T23" s="38"/>
      <c r="U23" s="38"/>
      <c r="V23" s="38"/>
      <c r="W23" s="38"/>
      <c r="X23" s="1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43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S24" s="38"/>
      <c r="T24" s="38"/>
      <c r="U24" s="38"/>
      <c r="V24" s="38"/>
      <c r="W24" s="38"/>
      <c r="X24" s="137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43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154"/>
      <c r="Q25" s="3">
        <v>54</v>
      </c>
      <c r="R25" s="3">
        <v>58</v>
      </c>
      <c r="S25" s="10"/>
      <c r="T25" s="10">
        <f>SUM(T26:T28)</f>
        <v>60</v>
      </c>
      <c r="U25" s="10"/>
      <c r="V25" s="10">
        <f>SUM(V26:V28)</f>
        <v>64</v>
      </c>
      <c r="W25" s="10">
        <f>SUM(W26:W28)</f>
        <v>67</v>
      </c>
      <c r="X25" s="13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"/>
      <c r="AN25" s="1"/>
      <c r="AO25" s="1"/>
      <c r="AP25" s="1"/>
      <c r="AQ25" s="1"/>
    </row>
    <row r="26" spans="1:43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S26" s="38"/>
      <c r="T26" s="38">
        <v>54</v>
      </c>
      <c r="U26" s="38"/>
      <c r="V26" s="38">
        <v>56</v>
      </c>
      <c r="W26" s="38">
        <v>59</v>
      </c>
      <c r="X26" s="137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43" ht="12.75" customHeight="1" x14ac:dyDescent="0.2">
      <c r="B27" s="51" t="s">
        <v>98</v>
      </c>
      <c r="T27" s="1">
        <v>6</v>
      </c>
      <c r="V27" s="1">
        <v>5</v>
      </c>
      <c r="W27" s="1">
        <v>3</v>
      </c>
    </row>
    <row r="28" spans="1:43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157"/>
      <c r="P28" s="55"/>
      <c r="Q28" s="55"/>
      <c r="R28" s="55"/>
      <c r="S28" s="52"/>
      <c r="T28" s="52">
        <v>0</v>
      </c>
      <c r="U28" s="52"/>
      <c r="V28" s="52">
        <v>3</v>
      </c>
      <c r="W28" s="52">
        <v>5</v>
      </c>
      <c r="X28" s="138"/>
      <c r="Y28" s="55"/>
      <c r="Z28" s="55"/>
      <c r="AA28" s="55"/>
      <c r="AB28" s="55"/>
      <c r="AC28" s="55"/>
      <c r="AD28" s="55"/>
      <c r="AE28" s="55"/>
    </row>
    <row r="29" spans="1:43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158" t="s">
        <v>109</v>
      </c>
      <c r="P29" s="74"/>
      <c r="Q29" s="81">
        <f>Q3/Q25</f>
        <v>1.9407962962962964</v>
      </c>
      <c r="R29" s="81">
        <f t="shared" ref="R29:W29" si="50">R3/R25</f>
        <v>1.9649655172413794</v>
      </c>
      <c r="S29" s="81"/>
      <c r="T29" s="81">
        <f t="shared" si="50"/>
        <v>2.1649000000000003</v>
      </c>
      <c r="U29" s="81"/>
      <c r="V29" s="81">
        <f t="shared" si="50"/>
        <v>1.12309375</v>
      </c>
      <c r="W29" s="81">
        <f t="shared" si="50"/>
        <v>2.8916567164179106</v>
      </c>
      <c r="X29" s="139"/>
      <c r="Y29" s="74"/>
      <c r="Z29" s="74"/>
      <c r="AA29" s="74"/>
      <c r="AB29" s="74"/>
      <c r="AC29" s="74"/>
      <c r="AD29" s="74"/>
      <c r="AE29" s="74"/>
    </row>
    <row r="30" spans="1:43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159"/>
      <c r="P30" s="69"/>
      <c r="Q30" s="36">
        <v>12.1</v>
      </c>
      <c r="R30" s="36">
        <v>13.1</v>
      </c>
      <c r="S30" s="71"/>
      <c r="T30" s="71"/>
      <c r="U30" s="71"/>
      <c r="V30" s="71"/>
      <c r="W30" s="71"/>
      <c r="X30" s="140"/>
      <c r="Y30" s="69"/>
      <c r="Z30" s="69"/>
      <c r="AA30" s="69"/>
      <c r="AB30" s="69"/>
      <c r="AC30" s="69"/>
      <c r="AD30" s="69"/>
      <c r="AE30" s="69"/>
    </row>
    <row r="31" spans="1:43" s="76" customFormat="1" x14ac:dyDescent="0.2">
      <c r="B31" s="77" t="s">
        <v>116</v>
      </c>
      <c r="E31" s="78"/>
      <c r="G31" s="78"/>
      <c r="I31" s="78"/>
      <c r="K31" s="78"/>
      <c r="M31" s="78"/>
      <c r="O31" s="79"/>
      <c r="Q31" s="80">
        <f>Q3/Q30</f>
        <v>8.6614049586776858</v>
      </c>
      <c r="R31" s="80">
        <f>R3/R30</f>
        <v>8.6998473282442745</v>
      </c>
      <c r="X31" s="79"/>
    </row>
    <row r="32" spans="1:43" s="76" customFormat="1" x14ac:dyDescent="0.2">
      <c r="B32" s="77"/>
      <c r="E32" s="78"/>
      <c r="G32" s="78"/>
      <c r="I32" s="78"/>
      <c r="K32" s="78"/>
      <c r="M32" s="78"/>
      <c r="O32" s="79"/>
      <c r="Q32" s="80"/>
      <c r="R32" s="80"/>
      <c r="X32" s="79"/>
      <c r="Z32" s="76" t="s">
        <v>152</v>
      </c>
    </row>
    <row r="33" spans="1:24" s="142" customFormat="1" x14ac:dyDescent="0.2">
      <c r="B33" s="143" t="s">
        <v>145</v>
      </c>
      <c r="E33" s="144"/>
      <c r="G33" s="144"/>
      <c r="I33" s="144"/>
      <c r="K33" s="144"/>
      <c r="M33" s="144"/>
      <c r="O33" s="145"/>
      <c r="Q33" s="142">
        <f t="shared" ref="Q33:V33" si="51">SUM(Q34:Q36)</f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0</v>
      </c>
      <c r="V33" s="142">
        <f t="shared" si="51"/>
        <v>1787</v>
      </c>
      <c r="W33" s="142">
        <f>SUM(W34:W36)</f>
        <v>2530</v>
      </c>
      <c r="X33" s="145"/>
    </row>
    <row r="34" spans="1:24" s="146" customFormat="1" x14ac:dyDescent="0.2">
      <c r="B34" s="147" t="s">
        <v>146</v>
      </c>
      <c r="E34" s="148"/>
      <c r="G34" s="148"/>
      <c r="I34" s="148"/>
      <c r="K34" s="148"/>
      <c r="M34" s="148"/>
      <c r="O34" s="149"/>
      <c r="V34" s="146">
        <v>6</v>
      </c>
      <c r="W34" s="146">
        <v>7</v>
      </c>
      <c r="X34" s="149"/>
    </row>
    <row r="35" spans="1:24" s="146" customFormat="1" x14ac:dyDescent="0.2">
      <c r="B35" s="147" t="s">
        <v>147</v>
      </c>
      <c r="E35" s="148"/>
      <c r="G35" s="148"/>
      <c r="I35" s="148"/>
      <c r="K35" s="148"/>
      <c r="M35" s="148"/>
      <c r="O35" s="149"/>
      <c r="V35" s="146">
        <v>58</v>
      </c>
      <c r="W35" s="146">
        <v>91</v>
      </c>
      <c r="X35" s="149"/>
    </row>
    <row r="36" spans="1:24" s="150" customFormat="1" x14ac:dyDescent="0.2">
      <c r="B36" s="147" t="s">
        <v>148</v>
      </c>
      <c r="E36" s="151"/>
      <c r="G36" s="151"/>
      <c r="I36" s="151"/>
      <c r="K36" s="151"/>
      <c r="M36" s="151"/>
      <c r="O36" s="160"/>
      <c r="V36" s="150">
        <v>1723</v>
      </c>
      <c r="W36" s="150">
        <v>2432</v>
      </c>
      <c r="X36" s="149"/>
    </row>
    <row r="38" spans="1:24" x14ac:dyDescent="0.2">
      <c r="B38" s="29" t="s">
        <v>48</v>
      </c>
    </row>
    <row r="39" spans="1:24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V39" s="14">
        <v>49.036000000000001</v>
      </c>
      <c r="W39" s="14">
        <v>68.641000000000005</v>
      </c>
      <c r="X39" s="134"/>
    </row>
    <row r="40" spans="1:24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V40" s="14">
        <v>132.34200000000001</v>
      </c>
      <c r="W40" s="14">
        <v>147.45500000000001</v>
      </c>
      <c r="X40" s="134"/>
    </row>
    <row r="41" spans="1:24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V41" s="14">
        <v>77.947999999999993</v>
      </c>
      <c r="W41" s="14">
        <v>81.793999999999997</v>
      </c>
      <c r="X41" s="134"/>
    </row>
    <row r="42" spans="1:24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V42" s="14">
        <v>6.29</v>
      </c>
      <c r="W42" s="14">
        <v>1.647</v>
      </c>
      <c r="X42" s="134"/>
    </row>
    <row r="43" spans="1:24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V43" s="14">
        <f>SUM(V39:V42)</f>
        <v>265.61600000000004</v>
      </c>
      <c r="W43" s="14">
        <f>SUM(W39:W42)</f>
        <v>299.53699999999998</v>
      </c>
      <c r="X43" s="134"/>
    </row>
    <row r="44" spans="1:24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154"/>
      <c r="V44" s="12">
        <v>29.942</v>
      </c>
      <c r="W44" s="12">
        <v>56.066000000000003</v>
      </c>
      <c r="X44" s="133"/>
    </row>
    <row r="45" spans="1:24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V45" s="14">
        <v>3.3</v>
      </c>
      <c r="W45" s="14">
        <v>5.13</v>
      </c>
      <c r="X45" s="134"/>
    </row>
    <row r="46" spans="1:24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V46" s="14">
        <v>0.65</v>
      </c>
      <c r="W46" s="14">
        <v>0.27100000000000002</v>
      </c>
      <c r="X46" s="134"/>
    </row>
    <row r="47" spans="1:24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V47" s="14">
        <v>1.4610000000000001</v>
      </c>
      <c r="W47" s="14">
        <v>2.1480000000000001</v>
      </c>
      <c r="X47" s="134"/>
    </row>
    <row r="48" spans="1:24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V48" s="14">
        <f>SUM(V44:V47)+V43</f>
        <v>300.96900000000005</v>
      </c>
      <c r="W48" s="14">
        <f>SUM(W44:W47)+W43</f>
        <v>363.15199999999999</v>
      </c>
      <c r="X48" s="134"/>
    </row>
    <row r="49" spans="1:24" x14ac:dyDescent="0.2">
      <c r="H49" s="14"/>
      <c r="L49" s="14"/>
      <c r="M49" s="31"/>
    </row>
    <row r="50" spans="1:24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V50" s="14">
        <v>18.141999999999999</v>
      </c>
      <c r="W50" s="14">
        <v>28.681000000000001</v>
      </c>
      <c r="X50" s="134"/>
    </row>
    <row r="51" spans="1:24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V51" s="14">
        <v>13.811</v>
      </c>
      <c r="W51" s="14">
        <v>11.557</v>
      </c>
      <c r="X51" s="134"/>
    </row>
    <row r="52" spans="1:24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V52" s="14">
        <v>0</v>
      </c>
      <c r="W52" s="14">
        <v>0</v>
      </c>
      <c r="X52" s="134"/>
    </row>
    <row r="53" spans="1:24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154"/>
      <c r="V53" s="12">
        <v>0</v>
      </c>
      <c r="W53" s="12">
        <v>0</v>
      </c>
      <c r="X53" s="133"/>
    </row>
    <row r="54" spans="1:24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V54" s="14">
        <f>SUM(V50:V53)</f>
        <v>31.952999999999999</v>
      </c>
      <c r="W54" s="14">
        <f>SUM(W50:W53)</f>
        <v>40.238</v>
      </c>
      <c r="X54" s="134"/>
    </row>
    <row r="55" spans="1:24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V55" s="14">
        <v>0.56499999999999995</v>
      </c>
      <c r="W55" s="14">
        <v>3</v>
      </c>
      <c r="X55" s="134"/>
    </row>
    <row r="56" spans="1:24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V56" s="14">
        <v>160.12899999999999</v>
      </c>
      <c r="W56" s="14">
        <v>176.81200000000001</v>
      </c>
      <c r="X56" s="134"/>
    </row>
    <row r="57" spans="1:24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154"/>
      <c r="V57" s="12">
        <v>0</v>
      </c>
      <c r="W57" s="12">
        <v>0</v>
      </c>
      <c r="X57" s="133"/>
    </row>
    <row r="58" spans="1:24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V58" s="14">
        <v>3.6349999999999998</v>
      </c>
      <c r="W58" s="14">
        <v>4.6820000000000004</v>
      </c>
      <c r="X58" s="134"/>
    </row>
    <row r="59" spans="1:24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V59" s="14">
        <f>V54+V55+V56+V57+V58</f>
        <v>196.28199999999998</v>
      </c>
      <c r="W59" s="14">
        <f>W54+W55+W56+W57+W58</f>
        <v>224.732</v>
      </c>
      <c r="X59" s="134"/>
    </row>
    <row r="60" spans="1:24" x14ac:dyDescent="0.2">
      <c r="H60" s="14"/>
    </row>
    <row r="61" spans="1:24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V61" s="14">
        <v>104.687</v>
      </c>
      <c r="W61" s="14">
        <v>138.41999999999999</v>
      </c>
      <c r="X61" s="134"/>
    </row>
    <row r="62" spans="1:24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V62" s="14">
        <f>V61+V59</f>
        <v>300.96899999999999</v>
      </c>
      <c r="W62" s="14">
        <f>W61+W59</f>
        <v>363.15199999999999</v>
      </c>
      <c r="X62" s="134"/>
    </row>
    <row r="64" spans="1:24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V64" s="14">
        <f t="shared" ref="V64:W64" si="52">V48-V59</f>
        <v>104.68700000000007</v>
      </c>
      <c r="W64" s="14">
        <f t="shared" si="52"/>
        <v>138.41999999999999</v>
      </c>
      <c r="X64" s="134"/>
    </row>
    <row r="65" spans="1:24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V65" s="1">
        <f t="shared" ref="V65:W65" si="53">V64/V14</f>
        <v>0.63597840274765649</v>
      </c>
      <c r="W65" s="1">
        <f t="shared" si="53"/>
        <v>0.80971382354881549</v>
      </c>
    </row>
    <row r="67" spans="1:24" x14ac:dyDescent="0.2">
      <c r="B67" s="1" t="s">
        <v>6</v>
      </c>
      <c r="H67" s="14">
        <f t="shared" ref="H67" si="54">H44</f>
        <v>15.635999999999999</v>
      </c>
      <c r="L67" s="14">
        <f t="shared" ref="L67:N67" si="55">L44</f>
        <v>49.576999999999998</v>
      </c>
      <c r="N67" s="14">
        <f t="shared" si="55"/>
        <v>44.149000000000001</v>
      </c>
      <c r="V67" s="14">
        <f t="shared" ref="V67" si="56">V44</f>
        <v>29.942</v>
      </c>
      <c r="W67" s="14">
        <f>W44</f>
        <v>56.066000000000003</v>
      </c>
      <c r="X67" s="134"/>
    </row>
    <row r="68" spans="1:24" x14ac:dyDescent="0.2">
      <c r="B68" s="1" t="s">
        <v>7</v>
      </c>
      <c r="H68" s="14">
        <f t="shared" ref="H68" si="57">H53+H57</f>
        <v>30.073</v>
      </c>
      <c r="L68" s="14">
        <f t="shared" ref="L68:N68" si="58">L53+L57</f>
        <v>0</v>
      </c>
      <c r="N68" s="14">
        <f t="shared" si="58"/>
        <v>0</v>
      </c>
      <c r="V68" s="14">
        <f t="shared" ref="V68" si="59">V53+V57</f>
        <v>0</v>
      </c>
      <c r="W68" s="14">
        <f>W53+W57</f>
        <v>0</v>
      </c>
      <c r="X68" s="134"/>
    </row>
    <row r="69" spans="1:24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V69" s="14">
        <f>V67-V68</f>
        <v>29.942</v>
      </c>
      <c r="W69" s="14">
        <f>W67-W68</f>
        <v>56.066000000000003</v>
      </c>
      <c r="X69" s="134"/>
    </row>
    <row r="71" spans="1:24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V71" s="1">
        <v>2.395</v>
      </c>
      <c r="W71" s="1">
        <v>1.8740000000000001</v>
      </c>
    </row>
    <row r="72" spans="1:24" x14ac:dyDescent="0.2">
      <c r="B72" s="1" t="s">
        <v>5</v>
      </c>
      <c r="H72" s="27">
        <f t="shared" ref="H72" si="60">H71*H14</f>
        <v>222.55491928799998</v>
      </c>
      <c r="L72" s="27">
        <f t="shared" ref="L72:N72" si="61">L71*L14</f>
        <v>408.36618902800001</v>
      </c>
      <c r="N72" s="27">
        <f t="shared" si="61"/>
        <v>394.05116001659997</v>
      </c>
      <c r="V72" s="27">
        <f t="shared" ref="V72" si="62">V71*V14</f>
        <v>394.23565944500001</v>
      </c>
      <c r="W72" s="27">
        <f>W71*W14</f>
        <v>320.358961964</v>
      </c>
      <c r="X72" s="135"/>
    </row>
    <row r="73" spans="1:24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V73" s="27">
        <f>V72-V69</f>
        <v>364.293659445</v>
      </c>
      <c r="W73" s="27">
        <f>W72-W69</f>
        <v>264.29296196400003</v>
      </c>
      <c r="X73" s="135"/>
    </row>
    <row r="75" spans="1:24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N75" s="93">
        <f>N71/N65</f>
        <v>2.827577210222445</v>
      </c>
      <c r="O75" s="161"/>
      <c r="V75" s="93">
        <f t="shared" ref="V75" si="63">V71/V65</f>
        <v>3.7658511510025101</v>
      </c>
      <c r="W75" s="93">
        <f>W71/W65</f>
        <v>2.3143979335645142</v>
      </c>
      <c r="X75" s="141"/>
    </row>
    <row r="76" spans="1:24" s="96" customFormat="1" x14ac:dyDescent="0.2">
      <c r="A76" s="95"/>
      <c r="B76" s="96" t="s">
        <v>135</v>
      </c>
      <c r="E76" s="97"/>
      <c r="G76" s="97"/>
      <c r="I76" s="97"/>
      <c r="K76" s="97"/>
      <c r="M76" s="97"/>
      <c r="O76" s="162"/>
      <c r="V76" s="93">
        <f t="shared" ref="V76" si="64">V72/V3</f>
        <v>5.4847889402181478</v>
      </c>
      <c r="W76" s="93">
        <f>W72/W3</f>
        <v>1.6535424198491799</v>
      </c>
      <c r="X76" s="141"/>
    </row>
    <row r="77" spans="1:24" x14ac:dyDescent="0.2">
      <c r="B77" s="1" t="s">
        <v>141</v>
      </c>
      <c r="V77" s="93">
        <f t="shared" ref="V77" si="65">V73/V3</f>
        <v>5.0682219795347674</v>
      </c>
      <c r="W77" s="93">
        <f>W73/W3</f>
        <v>1.3641560741608643</v>
      </c>
      <c r="X77" s="141"/>
    </row>
    <row r="78" spans="1:24" x14ac:dyDescent="0.2">
      <c r="B78" s="1" t="s">
        <v>136</v>
      </c>
      <c r="V78" s="93">
        <f t="shared" ref="V78" si="66">V71/V13</f>
        <v>228.14563625289284</v>
      </c>
      <c r="W78" s="93">
        <f>W71/W13</f>
        <v>8.554082987476967</v>
      </c>
      <c r="X78" s="141"/>
    </row>
    <row r="79" spans="1:24" x14ac:dyDescent="0.2">
      <c r="B79" s="1" t="s">
        <v>142</v>
      </c>
      <c r="V79" s="93">
        <f t="shared" ref="V79" si="67">V73/V12</f>
        <v>210.81808995659659</v>
      </c>
      <c r="W79" s="93">
        <f>W73/W12</f>
        <v>7.0570335094924017</v>
      </c>
      <c r="X79" s="141"/>
    </row>
    <row r="80" spans="1:24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V1" r:id="rId2" xr:uid="{05878C96-F10F-4982-ACE4-FF132CF4E29A}"/>
    <hyperlink ref="T1" r:id="rId3" xr:uid="{6765EA13-C896-4C06-BD01-2D2BC5D2014C}"/>
    <hyperlink ref="H1" r:id="rId4" xr:uid="{D3D9ED60-186F-274D-93DB-4D868CA2340E}"/>
    <hyperlink ref="R1" r:id="rId5" xr:uid="{9260496C-E59A-0143-BDFB-5C62E2643276}"/>
    <hyperlink ref="W1" r:id="rId6" xr:uid="{D7D97D6D-2030-4F4C-B5FB-6BFE0FD9DC61}"/>
    <hyperlink ref="N1" r:id="rId7" xr:uid="{FC756CF2-3D82-4D5D-9DD4-F7502A0327A9}"/>
  </hyperlinks>
  <pageMargins left="0.7" right="0.7" top="0.75" bottom="0.75" header="0.3" footer="0.3"/>
  <pageSetup paperSize="256" orientation="portrait" horizontalDpi="203" verticalDpi="203" r:id="rId8"/>
  <ignoredErrors>
    <ignoredError sqref="K5 K8 K10:K11 I10:I11 I8 I5 G12 G10 G8 G5 M5:M13 X12 Y11:AM11" formula="1"/>
    <ignoredError sqref="X6" formulaRange="1"/>
  </ignoredError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2023-10-23T15:32:18Z</dcterms:modified>
</cp:coreProperties>
</file>