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33FE5133-8985-834E-AFFA-10F1559C6F69}" xr6:coauthVersionLast="47" xr6:coauthVersionMax="47" xr10:uidLastSave="{00000000-0000-0000-0000-000000000000}"/>
  <bookViews>
    <workbookView xWindow="0" yWindow="500" windowWidth="28800" windowHeight="18900" xr2:uid="{D917D6C7-21F6-41B2-8A72-ADD41125E50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L74" i="2"/>
  <c r="M74" i="2"/>
  <c r="S74" i="2"/>
  <c r="T74" i="2"/>
  <c r="L54" i="2"/>
  <c r="C25" i="1"/>
  <c r="L51" i="2"/>
  <c r="L50" i="2"/>
  <c r="L49" i="2"/>
  <c r="L48" i="2"/>
  <c r="L46" i="2"/>
  <c r="L45" i="2"/>
  <c r="L44" i="2"/>
  <c r="L43" i="2"/>
  <c r="L42" i="2"/>
  <c r="M76" i="2"/>
  <c r="K76" i="2"/>
  <c r="K64" i="2"/>
  <c r="K63" i="2"/>
  <c r="K65" i="2" s="1"/>
  <c r="M64" i="2"/>
  <c r="C10" i="1" s="1"/>
  <c r="M63" i="2"/>
  <c r="S64" i="2"/>
  <c r="T64" i="2"/>
  <c r="K47" i="2"/>
  <c r="K52" i="2" s="1"/>
  <c r="K55" i="2" s="1"/>
  <c r="M47" i="2"/>
  <c r="M52" i="2" s="1"/>
  <c r="M55" i="2" s="1"/>
  <c r="M60" i="2"/>
  <c r="L61" i="2"/>
  <c r="L39" i="2"/>
  <c r="L38" i="2"/>
  <c r="L37" i="2"/>
  <c r="L36" i="2"/>
  <c r="L35" i="2"/>
  <c r="L33" i="2"/>
  <c r="L32" i="2"/>
  <c r="L31" i="2"/>
  <c r="L30" i="2"/>
  <c r="L29" i="2"/>
  <c r="L28" i="2"/>
  <c r="K34" i="2"/>
  <c r="K40" i="2" s="1"/>
  <c r="M34" i="2"/>
  <c r="M40" i="2" s="1"/>
  <c r="L16" i="2"/>
  <c r="L13" i="2"/>
  <c r="L11" i="2"/>
  <c r="L10" i="2"/>
  <c r="L8" i="2"/>
  <c r="L7" i="2"/>
  <c r="L6" i="2"/>
  <c r="L4" i="2"/>
  <c r="L3" i="2"/>
  <c r="L19" i="2" s="1"/>
  <c r="M18" i="2"/>
  <c r="G24" i="2"/>
  <c r="G23" i="2"/>
  <c r="G22" i="2"/>
  <c r="G5" i="2"/>
  <c r="G21" i="2" s="1"/>
  <c r="K5" i="2"/>
  <c r="K21" i="2" s="1"/>
  <c r="M5" i="2"/>
  <c r="M9" i="2" s="1"/>
  <c r="S76" i="2"/>
  <c r="T76" i="2"/>
  <c r="M65" i="2" l="1"/>
  <c r="L76" i="2"/>
  <c r="L63" i="2"/>
  <c r="L64" i="2"/>
  <c r="K57" i="2"/>
  <c r="K58" i="2" s="1"/>
  <c r="M57" i="2"/>
  <c r="M58" i="2" s="1"/>
  <c r="C35" i="1" s="1"/>
  <c r="M61" i="2"/>
  <c r="C9" i="1"/>
  <c r="K9" i="2"/>
  <c r="K22" i="2" s="1"/>
  <c r="M19" i="2"/>
  <c r="M22" i="2"/>
  <c r="M12" i="2"/>
  <c r="L5" i="2"/>
  <c r="M21" i="2"/>
  <c r="S18" i="2"/>
  <c r="R18" i="2"/>
  <c r="Q5" i="2"/>
  <c r="Q21" i="2" s="1"/>
  <c r="R5" i="2"/>
  <c r="R21" i="2" s="1"/>
  <c r="L65" i="2" l="1"/>
  <c r="K12" i="2"/>
  <c r="K14" i="2"/>
  <c r="K24" i="2"/>
  <c r="L9" i="2"/>
  <c r="L21" i="2"/>
  <c r="M24" i="2"/>
  <c r="M14" i="2"/>
  <c r="Q9" i="2"/>
  <c r="R9" i="2"/>
  <c r="S68" i="2"/>
  <c r="T68" i="2"/>
  <c r="T71" i="2" s="1"/>
  <c r="C38" i="1" s="1"/>
  <c r="T60" i="2"/>
  <c r="S63" i="2"/>
  <c r="S65" i="2" s="1"/>
  <c r="S47" i="2"/>
  <c r="S34" i="2"/>
  <c r="S40" i="2" s="1"/>
  <c r="T63" i="2"/>
  <c r="S52" i="2" l="1"/>
  <c r="S55" i="2" s="1"/>
  <c r="T65" i="2"/>
  <c r="S69" i="2"/>
  <c r="L12" i="2"/>
  <c r="L22" i="2"/>
  <c r="M23" i="2"/>
  <c r="M15" i="2"/>
  <c r="S71" i="2"/>
  <c r="C39" i="1" s="1"/>
  <c r="K23" i="2"/>
  <c r="K15" i="2"/>
  <c r="T69" i="2"/>
  <c r="R12" i="2"/>
  <c r="R22" i="2"/>
  <c r="Q12" i="2"/>
  <c r="Q22" i="2"/>
  <c r="T47" i="2"/>
  <c r="T34" i="2"/>
  <c r="T18" i="2"/>
  <c r="S5" i="2"/>
  <c r="S9" i="2" s="1"/>
  <c r="S12" i="2" s="1"/>
  <c r="S14" i="2" s="1"/>
  <c r="S23" i="2" s="1"/>
  <c r="T5" i="2"/>
  <c r="T9" i="2" s="1"/>
  <c r="T12" i="2" s="1"/>
  <c r="T14" i="2" s="1"/>
  <c r="T23" i="2" s="1"/>
  <c r="L47" i="2" l="1"/>
  <c r="T52" i="2"/>
  <c r="L52" i="2" s="1"/>
  <c r="L55" i="2" s="1"/>
  <c r="S57" i="2"/>
  <c r="S58" i="2" s="1"/>
  <c r="T40" i="2"/>
  <c r="L34" i="2"/>
  <c r="T24" i="2"/>
  <c r="S21" i="2"/>
  <c r="S22" i="2"/>
  <c r="S15" i="2"/>
  <c r="S72" i="2" s="1"/>
  <c r="S24" i="2"/>
  <c r="T15" i="2"/>
  <c r="T72" i="2" s="1"/>
  <c r="T21" i="2"/>
  <c r="T22" i="2"/>
  <c r="L14" i="2"/>
  <c r="L24" i="2"/>
  <c r="Q24" i="2"/>
  <c r="Q14" i="2"/>
  <c r="R14" i="2"/>
  <c r="R24" i="2"/>
  <c r="C11" i="1"/>
  <c r="C8" i="1"/>
  <c r="C37" i="1" s="1"/>
  <c r="T55" i="2" l="1"/>
  <c r="T57" i="2"/>
  <c r="T58" i="2" s="1"/>
  <c r="L40" i="2"/>
  <c r="L57" i="2" s="1"/>
  <c r="L58" i="2" s="1"/>
  <c r="L15" i="2"/>
  <c r="L23" i="2"/>
  <c r="R15" i="2"/>
  <c r="R23" i="2"/>
  <c r="Q15" i="2"/>
  <c r="Q23" i="2"/>
  <c r="C12" i="1"/>
  <c r="C32" i="1" l="1"/>
</calcChain>
</file>

<file path=xl/sharedStrings.xml><?xml version="1.0" encoding="utf-8"?>
<sst xmlns="http://schemas.openxmlformats.org/spreadsheetml/2006/main" count="151" uniqueCount="126">
  <si>
    <t>£BOO</t>
  </si>
  <si>
    <t>Boohoo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</si>
  <si>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</si>
  <si>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</si>
  <si>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</si>
  <si>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</si>
  <si>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</si>
  <si>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</si>
  <si>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</si>
  <si>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</si>
  <si>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</si>
  <si>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</si>
  <si>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</si>
  <si>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</si>
  <si>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</si>
  <si>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</si>
  <si>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</si>
  <si>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Inventory</t>
  </si>
  <si>
    <t>Update</t>
  </si>
  <si>
    <t>IR</t>
  </si>
  <si>
    <t>Link</t>
  </si>
  <si>
    <t>Ratios</t>
  </si>
  <si>
    <t>Mahmud Kamani</t>
  </si>
  <si>
    <t>CoFound</t>
  </si>
  <si>
    <t>John Lyttle</t>
  </si>
  <si>
    <t>Dir</t>
  </si>
  <si>
    <t>Neil Catto</t>
  </si>
  <si>
    <t>E. Dir</t>
  </si>
  <si>
    <t>Carol Kane</t>
  </si>
  <si>
    <t>Manchester, UK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</si>
  <si>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</si>
  <si>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</si>
  <si>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</si>
  <si>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</si>
  <si>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</si>
  <si>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</si>
  <si>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</si>
  <si>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</si>
  <si>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</si>
  <si>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</si>
  <si>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</si>
  <si>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</si>
  <si>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</si>
  <si>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</si>
  <si>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</si>
  <si>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</si>
  <si>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</si>
  <si>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</si>
  <si>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</si>
  <si>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</si>
  <si>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</si>
  <si>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</si>
  <si>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</si>
  <si>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</si>
  <si>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</si>
  <si>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</si>
  <si>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</si>
  <si>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</si>
  <si>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</si>
  <si>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Key Events</t>
  </si>
  <si>
    <t>Following collapse of Debenhams, Boohoo bought the brand &amp; online business for £55mn. The deal did not</t>
  </si>
  <si>
    <t xml:space="preserve">include the firm's stores or workforce which led to around 12,000 job losses </t>
  </si>
  <si>
    <t>Boohoo announced it was buying former Acadia Groups brands: Burton, Wallis &amp; Dorothy Perkins for £25.2m</t>
  </si>
  <si>
    <t>Boohoo announce the expansion of operations into five new Asian markets : Japan, HK, Taiwan, Korea &amp; SG</t>
  </si>
  <si>
    <t>Firm's shares lost 46% of value as a result of allegations of malpractice at Leicester factories</t>
  </si>
  <si>
    <t>Revenue</t>
  </si>
  <si>
    <t>COGS</t>
  </si>
  <si>
    <t>Gross Profit</t>
  </si>
  <si>
    <t>Distribution</t>
  </si>
  <si>
    <t>Administrative</t>
  </si>
  <si>
    <t>Other Income</t>
  </si>
  <si>
    <t>Operating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</si>
  <si>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</si>
  <si>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</si>
  <si>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</si>
  <si>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</si>
  <si>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</si>
  <si>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</si>
  <si>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</si>
  <si>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</si>
  <si>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</si>
  <si>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</si>
  <si>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</si>
  <si>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Taxes %</t>
  </si>
  <si>
    <t>-</t>
  </si>
  <si>
    <t>Balance Sheet</t>
  </si>
  <si>
    <t>Intangibles</t>
  </si>
  <si>
    <t>PP&amp;E</t>
  </si>
  <si>
    <t>ROU</t>
  </si>
  <si>
    <t>Financial Assets</t>
  </si>
  <si>
    <t>Deferred Taxes</t>
  </si>
  <si>
    <t>Total NCA</t>
  </si>
  <si>
    <t>Inventories</t>
  </si>
  <si>
    <t>Trade &amp; A/R</t>
  </si>
  <si>
    <t>Current Taxes</t>
  </si>
  <si>
    <t xml:space="preserve">Cash </t>
  </si>
  <si>
    <t>Assets</t>
  </si>
  <si>
    <t>Trade &amp; A/P</t>
  </si>
  <si>
    <t>Provisions</t>
  </si>
  <si>
    <t>Loans</t>
  </si>
  <si>
    <t>Lease Liabilities</t>
  </si>
  <si>
    <t>Financial Liabilities</t>
  </si>
  <si>
    <t>TCL</t>
  </si>
  <si>
    <t>Liabilities</t>
  </si>
  <si>
    <t>S/E</t>
  </si>
  <si>
    <t>S/E+L</t>
  </si>
  <si>
    <t>Book Value</t>
  </si>
  <si>
    <t>Book Value per Share</t>
  </si>
  <si>
    <t xml:space="preserve"> </t>
  </si>
  <si>
    <t>EV/E</t>
  </si>
  <si>
    <t>P/E</t>
  </si>
  <si>
    <t>ROCE</t>
  </si>
  <si>
    <t>P/B</t>
  </si>
  <si>
    <t>P/S TTM</t>
  </si>
  <si>
    <t>P/S 21</t>
  </si>
  <si>
    <t>P/S 20</t>
  </si>
  <si>
    <t>P/E 21</t>
  </si>
  <si>
    <t>Inventory Y/Y</t>
  </si>
  <si>
    <t>Inventory H/H</t>
  </si>
  <si>
    <t>P/S</t>
  </si>
  <si>
    <t>Share Price</t>
  </si>
  <si>
    <t>Market Cap</t>
  </si>
  <si>
    <t>29/02/2019</t>
  </si>
  <si>
    <t>Inventory/Revenue</t>
  </si>
  <si>
    <t>H223</t>
  </si>
  <si>
    <t>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</si>
</sst>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0.0\x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5" fillId="0" borderId="0" xfId="1" applyFont="1" applyAlignment="1">
      <alignment horizontal="right"/>
    </xf>
    <xf numFmtId="0" fontId="2" fillId="6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4" fontId="7" fillId="0" borderId="0" xfId="0" applyNumberFormat="1" applyFont="1" applyAlignment="1">
      <alignment horizontal="right"/>
    </xf>
    <xf numFmtId="14" fontId="7" fillId="5" borderId="0" xfId="0" applyNumberFormat="1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17" fontId="2" fillId="3" borderId="4" xfId="0" applyNumberFormat="1" applyFont="1" applyFill="1" applyBorder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165" fontId="1" fillId="0" borderId="0" xfId="0" applyNumberFormat="1" applyFont="1"/>
    <xf numFmtId="0" fontId="9" fillId="0" borderId="0" xfId="0" applyFont="1"/>
    <xf numFmtId="0" fontId="9" fillId="5" borderId="0" xfId="0" applyFont="1" applyFill="1"/>
    <xf numFmtId="0" fontId="9" fillId="6" borderId="0" xfId="0" applyFont="1" applyFill="1"/>
    <xf numFmtId="164" fontId="9" fillId="0" borderId="0" xfId="0" applyNumberFormat="1" applyFont="1"/>
    <xf numFmtId="9" fontId="9" fillId="0" borderId="0" xfId="0" applyNumberFormat="1" applyFont="1"/>
    <xf numFmtId="0" fontId="9" fillId="0" borderId="0" xfId="0" applyFont="1" applyAlignment="1">
      <alignment horizontal="right"/>
    </xf>
    <xf numFmtId="2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 applyBorder="1"/>
    <xf numFmtId="0" fontId="1" fillId="2" borderId="0" xfId="0" applyFont="1" applyFill="1" applyBorder="1" applyAlignment="1">
      <alignment horizontal="center"/>
    </xf>
    <xf numFmtId="15" fontId="1" fillId="2" borderId="5" xfId="0" applyNumberFormat="1" applyFont="1" applyFill="1" applyBorder="1" applyAlignment="1"/>
    <xf numFmtId="167" fontId="1" fillId="0" borderId="0" xfId="0" applyNumberFormat="1" applyFont="1"/>
    <xf numFmtId="164" fontId="1" fillId="5" borderId="0" xfId="0" applyNumberFormat="1" applyFont="1" applyFill="1"/>
    <xf numFmtId="164" fontId="2" fillId="5" borderId="0" xfId="0" applyNumberFormat="1" applyFont="1" applyFill="1"/>
    <xf numFmtId="9" fontId="1" fillId="5" borderId="0" xfId="0" applyNumberFormat="1" applyFont="1" applyFill="1"/>
    <xf numFmtId="165" fontId="1" fillId="5" borderId="0" xfId="0" applyNumberFormat="1" applyFont="1" applyFill="1"/>
    <xf numFmtId="9" fontId="9" fillId="5" borderId="0" xfId="0" applyNumberFormat="1" applyFont="1" applyFill="1"/>
    <xf numFmtId="164" fontId="9" fillId="5" borderId="0" xfId="0" applyNumberFormat="1" applyFont="1" applyFill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5" xfId="0" applyFont="1" applyFill="1" applyBorder="1" applyAlignment="1"/>
    <xf numFmtId="0" fontId="5" fillId="2" borderId="7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9" fontId="1" fillId="6" borderId="0" xfId="0" applyNumberFormat="1" applyFont="1" applyFill="1"/>
    <xf numFmtId="9" fontId="1" fillId="2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295274</xdr:colOff>
      <xdr:row>0</xdr:row>
      <xdr:rowOff>142874</xdr:rowOff>
    </xdr:from>
    <xdr:to>
      <xdr:col>6</xdr:col>
      <xdr:colOff>164122</xdr:colOff>
      <xdr:row>3</xdr:row>
      <xdr:rowOff>38099</xdr:rowOff>
    </xdr:to>
    <xdr:pic>
      <xdr:nvPicPr>
        <xdr:cNvPr id="4" name="Picture 3" descr="Boohoo logo and symbol, meaning, history, PNG">
          <a:extLst>
            <a:ext uri="{FF2B5EF4-FFF2-40B4-BE49-F238E27FC236}">
              <a16:creationId xmlns:a16="http://schemas.microsoft.com/office/drawing/2014/main" id="{F73B17DA-DA14-4CBE-9583-1D0F4DF289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710" b="22892"/>
        <a:stretch/>
      </xdr:blipFill>
      <xdr:spPr bwMode="auto">
        <a:xfrm>
          <a:off x="2124074" y="142874"/>
          <a:ext cx="169764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19050</xdr:rowOff>
    </xdr:from>
    <xdr:to>
      <xdr:col>20</xdr:col>
      <xdr:colOff>0</xdr:colOff>
      <xdr:row>78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5F20462-288A-4FA3-ADD2-9E6B9796B1C8}"/>
            </a:ext>
          </a:extLst>
        </xdr:cNvPr>
        <xdr:cNvCxnSpPr/>
      </xdr:nvCxnSpPr>
      <xdr:spPr>
        <a:xfrm>
          <a:off x="12877800" y="19050"/>
          <a:ext cx="0" cy="117252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692150</xdr:colOff>
      <xdr:row>0</xdr:row>
      <xdr:rowOff>0</xdr:rowOff>
    </xdr:from>
    <xdr:to>
      <xdr:col>12</xdr:col>
      <xdr:colOff>692150</xdr:colOff>
      <xdr:row>78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52AFAA9-F30E-4099-8541-ED63B0AB16BC}"/>
            </a:ext>
          </a:extLst>
        </xdr:cNvPr>
        <xdr:cNvCxnSpPr/>
      </xdr:nvCxnSpPr>
      <xdr:spPr>
        <a:xfrm>
          <a:off x="9861550" y="0"/>
          <a:ext cx="0" cy="122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oohoopl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ohooplc.com/sites/boohoo-corp/files/all-documents/result-centre/2020/boohoo-com-plc-annual-report-2020-hyperlink.pdf" TargetMode="External"/><Relationship Id="rId2" Type="http://schemas.openxmlformats.org/officeDocument/2006/relationships/hyperlink" Target="https://www.boohooplc.com/sites/boohoo-corp/files/2022-05/boohoo-com-plc-annual-report-2022.pdf" TargetMode="External"/><Relationship Id="rId1" Type="http://schemas.openxmlformats.org/officeDocument/2006/relationships/hyperlink" Target="https://asos-12954-s3.s3.eu-west-2.amazonaws.com/files/7416/3413/3936/FY21_Results_Statement_-_Final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oohooplc.com/sites/boohoo-corp/files/all-documents/result-centre/2022/boohoo-group-plc-interim-results-fy23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5D41-5E41-4A8C-B5CB-23922776B648}">
  <dimension ref="A2:Q41"/>
  <sheetViews>
    <sheetView tabSelected="1" zoomScaleNormal="100" workbookViewId="0">
      <selection activeCell="C34" sqref="C34:D34"/>
    </sheetView>
  </sheetViews>
  <sheetFormatPr baseColWidth="10" defaultColWidth="9.1640625" defaultRowHeight="13" x14ac:dyDescent="0.15"/>
  <cols>
    <col min="1" max="16384" width="9.1640625" style="1"/>
  </cols>
  <sheetData>
    <row r="2" spans="1:17" ht="15" x14ac:dyDescent="0.2">
      <c r="B2" s="3" t="s">
        <v>0</v>
      </c>
      <c r="F2"/>
    </row>
    <row r="3" spans="1:17" x14ac:dyDescent="0.15">
      <c r="B3" s="2" t="s">
        <v>1</v>
      </c>
    </row>
    <row r="5" spans="1:17" x14ac:dyDescent="0.15">
      <c r="B5" s="64" t="s">
        <v>2</v>
      </c>
      <c r="C5" s="65"/>
      <c r="D5" s="66"/>
      <c r="G5" s="64" t="s">
        <v>59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x14ac:dyDescent="0.15">
      <c r="B6" s="10" t="s">
        <v>3</v>
      </c>
      <c r="C6" s="48">
        <v>0.43030000000000002</v>
      </c>
      <c r="D6" s="17"/>
      <c r="G6" s="12"/>
      <c r="H6" s="5"/>
      <c r="I6" s="5"/>
      <c r="J6" s="5"/>
      <c r="K6" s="5"/>
      <c r="L6" s="5"/>
      <c r="M6" s="5"/>
      <c r="N6" s="5"/>
      <c r="O6" s="5"/>
      <c r="P6" s="5"/>
      <c r="Q6" s="6"/>
    </row>
    <row r="7" spans="1:17" x14ac:dyDescent="0.15">
      <c r="B7" s="10" t="s">
        <v>4</v>
      </c>
      <c r="C7" s="14">
        <v>1239.7</v>
      </c>
      <c r="D7" s="17" t="s">
        <v>40</v>
      </c>
      <c r="G7" s="12"/>
      <c r="H7" s="5"/>
      <c r="I7" s="5"/>
      <c r="J7" s="5"/>
      <c r="K7" s="5"/>
      <c r="L7" s="5"/>
      <c r="M7" s="5"/>
      <c r="N7" s="5"/>
      <c r="O7" s="5"/>
      <c r="P7" s="5"/>
      <c r="Q7" s="6"/>
    </row>
    <row r="8" spans="1:17" x14ac:dyDescent="0.15">
      <c r="B8" s="10" t="s">
        <v>5</v>
      </c>
      <c r="C8" s="14">
        <f>C6*C7</f>
        <v>533.44290999999998</v>
      </c>
      <c r="D8" s="17"/>
      <c r="G8" s="12"/>
      <c r="H8" s="5"/>
      <c r="I8" s="5"/>
      <c r="J8" s="5"/>
      <c r="K8" s="5"/>
      <c r="L8" s="5"/>
      <c r="M8" s="5"/>
      <c r="N8" s="5"/>
      <c r="O8" s="5"/>
      <c r="P8" s="5"/>
      <c r="Q8" s="6"/>
    </row>
    <row r="9" spans="1:17" x14ac:dyDescent="0.15">
      <c r="B9" s="10" t="s">
        <v>6</v>
      </c>
      <c r="C9" s="14">
        <f>'Financial Model'!M63</f>
        <v>327.3</v>
      </c>
      <c r="D9" s="17" t="s">
        <v>40</v>
      </c>
      <c r="G9" s="12"/>
      <c r="H9" s="5"/>
      <c r="I9" s="5"/>
      <c r="J9" s="5"/>
      <c r="K9" s="5"/>
      <c r="L9" s="5"/>
      <c r="M9" s="5"/>
      <c r="N9" s="5"/>
      <c r="O9" s="5"/>
      <c r="P9" s="5"/>
      <c r="Q9" s="6"/>
    </row>
    <row r="10" spans="1:17" x14ac:dyDescent="0.15">
      <c r="B10" s="10" t="s">
        <v>7</v>
      </c>
      <c r="C10" s="14">
        <f>'Financial Model'!M64</f>
        <v>363.9</v>
      </c>
      <c r="D10" s="17" t="s">
        <v>40</v>
      </c>
      <c r="G10" s="12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1:17" x14ac:dyDescent="0.15">
      <c r="B11" s="10" t="s">
        <v>8</v>
      </c>
      <c r="C11" s="14">
        <f>C9-C10</f>
        <v>-36.599999999999966</v>
      </c>
      <c r="D11" s="17" t="s">
        <v>40</v>
      </c>
      <c r="G11" s="12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1:17" x14ac:dyDescent="0.15">
      <c r="B12" s="11" t="s">
        <v>9</v>
      </c>
      <c r="C12" s="15">
        <f>C8-C11</f>
        <v>570.04290999999989</v>
      </c>
      <c r="D12" s="18"/>
      <c r="G12" s="12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17" x14ac:dyDescent="0.15">
      <c r="G13" s="12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17" x14ac:dyDescent="0.15">
      <c r="G14" s="12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17" x14ac:dyDescent="0.15">
      <c r="B15" s="64" t="s">
        <v>10</v>
      </c>
      <c r="C15" s="65"/>
      <c r="D15" s="66"/>
      <c r="G15" s="12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17" x14ac:dyDescent="0.15">
      <c r="A16" s="16" t="s">
        <v>25</v>
      </c>
      <c r="B16" s="4" t="s">
        <v>11</v>
      </c>
      <c r="C16" s="62" t="s">
        <v>24</v>
      </c>
      <c r="D16" s="63"/>
      <c r="G16" s="12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7" x14ac:dyDescent="0.15">
      <c r="B17" s="4" t="s">
        <v>12</v>
      </c>
      <c r="C17" s="62" t="s">
        <v>26</v>
      </c>
      <c r="D17" s="63"/>
      <c r="G17" s="12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1:17" x14ac:dyDescent="0.15">
      <c r="A18" s="16" t="s">
        <v>23</v>
      </c>
      <c r="B18" s="4" t="s">
        <v>27</v>
      </c>
      <c r="C18" s="62" t="s">
        <v>28</v>
      </c>
      <c r="D18" s="63"/>
      <c r="G18" s="12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1:17" x14ac:dyDescent="0.15">
      <c r="A19" s="16" t="s">
        <v>23</v>
      </c>
      <c r="B19" s="7" t="s">
        <v>13</v>
      </c>
      <c r="C19" s="60" t="s">
        <v>22</v>
      </c>
      <c r="D19" s="61"/>
      <c r="G19" s="31">
        <v>44228</v>
      </c>
      <c r="H19" s="5" t="s">
        <v>62</v>
      </c>
      <c r="I19" s="5"/>
      <c r="J19" s="5"/>
      <c r="K19" s="5"/>
      <c r="L19" s="5"/>
      <c r="M19" s="5"/>
      <c r="N19" s="5"/>
      <c r="O19" s="5"/>
      <c r="P19" s="5"/>
      <c r="Q19" s="6"/>
    </row>
    <row r="20" spans="1:17" x14ac:dyDescent="0.15">
      <c r="G20" s="12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7" x14ac:dyDescent="0.15">
      <c r="G21" s="31">
        <v>44197</v>
      </c>
      <c r="H21" s="5" t="s">
        <v>60</v>
      </c>
      <c r="I21" s="5"/>
      <c r="J21" s="5"/>
      <c r="K21" s="5"/>
      <c r="L21" s="5"/>
      <c r="M21" s="5"/>
      <c r="N21" s="5"/>
      <c r="O21" s="5"/>
      <c r="P21" s="5"/>
      <c r="Q21" s="6"/>
    </row>
    <row r="22" spans="1:17" x14ac:dyDescent="0.15">
      <c r="B22" s="64" t="s">
        <v>14</v>
      </c>
      <c r="C22" s="65"/>
      <c r="D22" s="66"/>
      <c r="G22" s="12"/>
      <c r="H22" s="5" t="s">
        <v>61</v>
      </c>
      <c r="I22" s="5"/>
      <c r="J22" s="5"/>
      <c r="K22" s="5"/>
      <c r="L22" s="5"/>
      <c r="M22" s="5"/>
      <c r="N22" s="5"/>
      <c r="O22" s="5"/>
      <c r="P22" s="5"/>
      <c r="Q22" s="6"/>
    </row>
    <row r="23" spans="1:17" x14ac:dyDescent="0.15">
      <c r="B23" s="12" t="s">
        <v>15</v>
      </c>
      <c r="C23" s="62" t="s">
        <v>29</v>
      </c>
      <c r="D23" s="63"/>
      <c r="G23" s="12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7" x14ac:dyDescent="0.15">
      <c r="B24" s="12" t="s">
        <v>16</v>
      </c>
      <c r="C24" s="62">
        <v>2006</v>
      </c>
      <c r="D24" s="63"/>
      <c r="G24" s="31">
        <v>44531</v>
      </c>
      <c r="H24" s="5" t="s">
        <v>63</v>
      </c>
      <c r="I24" s="5"/>
      <c r="J24" s="5"/>
      <c r="K24" s="5"/>
      <c r="L24" s="5"/>
      <c r="M24" s="5"/>
      <c r="N24" s="5"/>
      <c r="O24" s="5"/>
      <c r="P24" s="5"/>
      <c r="Q24" s="6"/>
    </row>
    <row r="25" spans="1:17" x14ac:dyDescent="0.15">
      <c r="B25" s="12" t="s">
        <v>17</v>
      </c>
      <c r="C25" s="62">
        <f>'Financial Model'!M35</f>
        <v>269.7</v>
      </c>
      <c r="D25" s="63"/>
      <c r="G25" s="12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1:17" x14ac:dyDescent="0.15">
      <c r="B26" s="12"/>
      <c r="C26" s="69"/>
      <c r="D26" s="70"/>
      <c r="G26" s="12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1:17" x14ac:dyDescent="0.15">
      <c r="B27" s="12" t="s">
        <v>18</v>
      </c>
      <c r="C27" s="49" t="s">
        <v>40</v>
      </c>
      <c r="D27" s="50">
        <v>44832</v>
      </c>
      <c r="G27" s="12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7" x14ac:dyDescent="0.15">
      <c r="B28" s="13" t="s">
        <v>19</v>
      </c>
      <c r="C28" s="71" t="s">
        <v>20</v>
      </c>
      <c r="D28" s="72"/>
      <c r="G28" s="12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x14ac:dyDescent="0.15">
      <c r="G29" s="12"/>
      <c r="H29" s="5"/>
      <c r="J29" s="5"/>
      <c r="K29" s="5"/>
      <c r="L29" s="5"/>
      <c r="M29" s="5"/>
      <c r="N29" s="5"/>
      <c r="O29" s="5"/>
      <c r="P29" s="5"/>
      <c r="Q29" s="6"/>
    </row>
    <row r="30" spans="1:17" x14ac:dyDescent="0.15">
      <c r="G30" s="12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7" x14ac:dyDescent="0.15">
      <c r="B31" s="64" t="s">
        <v>21</v>
      </c>
      <c r="C31" s="65"/>
      <c r="D31" s="66"/>
      <c r="G31" s="12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1:17" x14ac:dyDescent="0.15">
      <c r="B32" s="12" t="s">
        <v>109</v>
      </c>
      <c r="C32" s="67">
        <f>C12/'Financial Model'!T14</f>
        <v>-142.51072749999832</v>
      </c>
      <c r="D32" s="68"/>
      <c r="G32" s="12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2:17" x14ac:dyDescent="0.15">
      <c r="B33" s="12" t="s">
        <v>110</v>
      </c>
      <c r="C33" s="69"/>
      <c r="D33" s="70"/>
      <c r="G33" s="12"/>
      <c r="H33" s="5"/>
      <c r="I33" s="5"/>
      <c r="J33" s="5"/>
      <c r="K33" s="5"/>
      <c r="L33" s="5"/>
      <c r="M33" s="5"/>
      <c r="N33" s="5"/>
      <c r="O33" s="5"/>
      <c r="P33" s="5"/>
      <c r="Q33" s="6"/>
    </row>
    <row r="34" spans="2:17" x14ac:dyDescent="0.15">
      <c r="B34" s="12" t="s">
        <v>111</v>
      </c>
      <c r="C34" s="76">
        <f>'Financial Model'!M74</f>
        <v>-6.4531323598681092E-2</v>
      </c>
      <c r="D34" s="63"/>
      <c r="G34" s="31">
        <v>44013</v>
      </c>
      <c r="H34" s="5" t="s">
        <v>64</v>
      </c>
      <c r="I34" s="5"/>
      <c r="J34" s="5"/>
      <c r="K34" s="5"/>
      <c r="L34" s="5"/>
      <c r="M34" s="5"/>
      <c r="N34" s="5"/>
      <c r="O34" s="5"/>
      <c r="P34" s="5"/>
      <c r="Q34" s="6"/>
    </row>
    <row r="35" spans="2:17" x14ac:dyDescent="0.15">
      <c r="B35" s="12" t="s">
        <v>112</v>
      </c>
      <c r="C35" s="67">
        <f>C6/'Financial Model'!M58</f>
        <v>1.2563422279792744</v>
      </c>
      <c r="D35" s="68"/>
      <c r="G35" s="12"/>
      <c r="H35" s="5"/>
      <c r="I35" s="5"/>
      <c r="J35" s="5"/>
      <c r="K35" s="5"/>
      <c r="L35" s="5"/>
      <c r="M35" s="5"/>
      <c r="N35" s="5"/>
      <c r="O35" s="5"/>
      <c r="P35" s="5"/>
      <c r="Q35" s="6"/>
    </row>
    <row r="36" spans="2:17" x14ac:dyDescent="0.15">
      <c r="B36" s="12"/>
      <c r="C36" s="69"/>
      <c r="D36" s="70"/>
      <c r="G36" s="12"/>
      <c r="H36" s="5"/>
      <c r="I36" s="5"/>
      <c r="J36" s="5"/>
      <c r="K36" s="5"/>
      <c r="L36" s="5"/>
      <c r="M36" s="5"/>
      <c r="N36" s="5"/>
      <c r="O36" s="5"/>
      <c r="P36" s="5"/>
      <c r="Q36" s="6"/>
    </row>
    <row r="37" spans="2:17" x14ac:dyDescent="0.15">
      <c r="B37" s="12" t="s">
        <v>113</v>
      </c>
      <c r="C37" s="73">
        <f>C8/'Financial Model'!T3</f>
        <v>0.26903515735323785</v>
      </c>
      <c r="D37" s="74"/>
      <c r="G37" s="13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2:17" x14ac:dyDescent="0.15">
      <c r="B38" s="12" t="s">
        <v>114</v>
      </c>
      <c r="C38" s="73">
        <f>'Financial Model'!T71</f>
        <v>0.5572182368367965</v>
      </c>
      <c r="D38" s="63"/>
    </row>
    <row r="39" spans="2:17" x14ac:dyDescent="0.15">
      <c r="B39" s="12" t="s">
        <v>115</v>
      </c>
      <c r="C39" s="73">
        <f>'Financial Model'!S71</f>
        <v>2.3563503695639718</v>
      </c>
      <c r="D39" s="63"/>
    </row>
    <row r="40" spans="2:17" x14ac:dyDescent="0.15">
      <c r="B40" s="12"/>
      <c r="C40" s="69"/>
      <c r="D40" s="70"/>
    </row>
    <row r="41" spans="2:17" x14ac:dyDescent="0.15">
      <c r="B41" s="13" t="s">
        <v>116</v>
      </c>
      <c r="C41" s="58"/>
      <c r="D41" s="59"/>
    </row>
  </sheetData>
  <mergeCells count="24">
    <mergeCell ref="G5:Q5"/>
    <mergeCell ref="C37:D37"/>
    <mergeCell ref="C38:D38"/>
    <mergeCell ref="C39:D39"/>
    <mergeCell ref="C40:D40"/>
    <mergeCell ref="B5:D5"/>
    <mergeCell ref="B15:D15"/>
    <mergeCell ref="C24:D24"/>
    <mergeCell ref="C23:D23"/>
    <mergeCell ref="C41:D41"/>
    <mergeCell ref="C19:D19"/>
    <mergeCell ref="C17:D17"/>
    <mergeCell ref="C16:D16"/>
    <mergeCell ref="C18:D18"/>
    <mergeCell ref="B31:D31"/>
    <mergeCell ref="C32:D32"/>
    <mergeCell ref="C33:D33"/>
    <mergeCell ref="C34:D34"/>
    <mergeCell ref="C35:D35"/>
    <mergeCell ref="C36:D36"/>
    <mergeCell ref="B22:D22"/>
    <mergeCell ref="C28:D28"/>
    <mergeCell ref="C26:D26"/>
    <mergeCell ref="C25:D25"/>
  </mergeCells>
  <hyperlinks>
    <hyperlink ref="C28:D28" r:id="rId1" display="Link" xr:uid="{3DA49863-E5C6-46B1-8E08-C0029C60358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4C9F-2341-4AC5-9107-F27B9525F613}">
  <dimension ref="A1:AG76"/>
  <sheetViews>
    <sheetView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A74" sqref="A74"/>
    </sheetView>
  </sheetViews>
  <sheetFormatPr baseColWidth="10" defaultColWidth="9.1640625" defaultRowHeight="13" x14ac:dyDescent="0.15"/>
  <cols>
    <col min="1" max="1" width="9.1640625" style="1"/>
    <col min="2" max="2" width="19.5" style="1" bestFit="1" customWidth="1"/>
    <col min="3" max="3" width="9.1640625" style="1"/>
    <col min="4" max="4" width="9.1640625" style="29"/>
    <col min="5" max="5" width="9.1640625" style="1"/>
    <col min="6" max="6" width="9.1640625" style="29"/>
    <col min="7" max="7" width="9.1640625" style="1"/>
    <col min="8" max="8" width="9.1640625" style="29"/>
    <col min="9" max="9" width="9.1640625" style="1"/>
    <col min="10" max="10" width="9.1640625" style="29"/>
    <col min="11" max="11" width="9.1640625" style="1"/>
    <col min="12" max="12" width="9.1640625" style="29"/>
    <col min="13" max="13" width="9.1640625" style="1"/>
    <col min="14" max="14" width="9.1640625" style="29"/>
    <col min="15" max="20" width="9.1640625" style="1"/>
    <col min="21" max="21" width="9.1640625" style="30"/>
    <col min="22" max="16384" width="9.1640625" style="1"/>
  </cols>
  <sheetData>
    <row r="1" spans="1:33" s="19" customFormat="1" x14ac:dyDescent="0.15">
      <c r="C1" s="19" t="s">
        <v>30</v>
      </c>
      <c r="D1" s="20" t="s">
        <v>31</v>
      </c>
      <c r="E1" s="19" t="s">
        <v>32</v>
      </c>
      <c r="F1" s="20" t="s">
        <v>33</v>
      </c>
      <c r="G1" s="19" t="s">
        <v>34</v>
      </c>
      <c r="H1" s="20" t="s">
        <v>35</v>
      </c>
      <c r="I1" s="19" t="s">
        <v>36</v>
      </c>
      <c r="J1" s="20" t="s">
        <v>37</v>
      </c>
      <c r="K1" s="19" t="s">
        <v>38</v>
      </c>
      <c r="L1" s="20" t="s">
        <v>39</v>
      </c>
      <c r="M1" s="21" t="s">
        <v>40</v>
      </c>
      <c r="N1" s="20" t="s">
        <v>124</v>
      </c>
      <c r="P1" s="19" t="s">
        <v>41</v>
      </c>
      <c r="Q1" s="19" t="s">
        <v>42</v>
      </c>
      <c r="R1" s="21" t="s">
        <v>43</v>
      </c>
      <c r="S1" s="19" t="s">
        <v>44</v>
      </c>
      <c r="T1" s="21" t="s">
        <v>45</v>
      </c>
      <c r="U1" s="22" t="s">
        <v>46</v>
      </c>
      <c r="V1" s="19" t="s">
        <v>47</v>
      </c>
      <c r="W1" s="19" t="s">
        <v>48</v>
      </c>
      <c r="X1" s="19" t="s">
        <v>49</v>
      </c>
      <c r="Y1" s="19" t="s">
        <v>50</v>
      </c>
      <c r="Z1" s="19" t="s">
        <v>51</v>
      </c>
      <c r="AA1" s="19" t="s">
        <v>52</v>
      </c>
      <c r="AB1" s="19" t="s">
        <v>53</v>
      </c>
      <c r="AC1" s="19" t="s">
        <v>54</v>
      </c>
      <c r="AD1" s="19" t="s">
        <v>55</v>
      </c>
      <c r="AE1" s="19" t="s">
        <v>56</v>
      </c>
      <c r="AF1" s="19" t="s">
        <v>57</v>
      </c>
      <c r="AG1" s="19" t="s">
        <v>58</v>
      </c>
    </row>
    <row r="2" spans="1:33" s="24" customFormat="1" x14ac:dyDescent="0.15">
      <c r="A2" s="23"/>
      <c r="D2" s="25"/>
      <c r="F2" s="25"/>
      <c r="G2" s="26">
        <v>43708</v>
      </c>
      <c r="H2" s="27"/>
      <c r="J2" s="27"/>
      <c r="K2" s="26">
        <v>44439</v>
      </c>
      <c r="L2" s="27">
        <v>44620</v>
      </c>
      <c r="M2" s="26">
        <v>44804</v>
      </c>
      <c r="N2" s="25"/>
      <c r="P2" s="26"/>
      <c r="Q2" s="26" t="s">
        <v>122</v>
      </c>
      <c r="R2" s="26">
        <v>43890</v>
      </c>
      <c r="S2" s="26">
        <v>44255</v>
      </c>
      <c r="T2" s="26">
        <v>44620</v>
      </c>
      <c r="U2" s="28"/>
    </row>
    <row r="3" spans="1:33" s="2" customFormat="1" x14ac:dyDescent="0.15">
      <c r="B3" s="2" t="s">
        <v>65</v>
      </c>
      <c r="D3" s="32"/>
      <c r="F3" s="32"/>
      <c r="G3" s="2">
        <v>564.9</v>
      </c>
      <c r="H3" s="32"/>
      <c r="J3" s="32"/>
      <c r="K3" s="2">
        <v>975.9</v>
      </c>
      <c r="L3" s="53">
        <f>T3-K3</f>
        <v>1006.9</v>
      </c>
      <c r="M3" s="2">
        <v>882.4</v>
      </c>
      <c r="N3" s="32"/>
      <c r="Q3" s="34">
        <v>856.92</v>
      </c>
      <c r="R3" s="34">
        <v>1234.876</v>
      </c>
      <c r="S3" s="34">
        <v>1745.3</v>
      </c>
      <c r="T3" s="34">
        <v>1982.8</v>
      </c>
      <c r="U3" s="33"/>
    </row>
    <row r="4" spans="1:33" x14ac:dyDescent="0.15">
      <c r="B4" s="1" t="s">
        <v>66</v>
      </c>
      <c r="G4" s="1">
        <v>258.3</v>
      </c>
      <c r="K4" s="1">
        <v>442.6</v>
      </c>
      <c r="L4" s="52">
        <f>T4-K4</f>
        <v>499.1</v>
      </c>
      <c r="M4" s="1">
        <v>418.9</v>
      </c>
      <c r="Q4" s="35">
        <v>387.92599999999999</v>
      </c>
      <c r="R4" s="35">
        <v>568.64</v>
      </c>
      <c r="S4" s="35">
        <v>800.1</v>
      </c>
      <c r="T4" s="35">
        <v>941.7</v>
      </c>
    </row>
    <row r="5" spans="1:33" s="2" customFormat="1" x14ac:dyDescent="0.15">
      <c r="B5" s="2" t="s">
        <v>67</v>
      </c>
      <c r="D5" s="32"/>
      <c r="F5" s="32"/>
      <c r="G5" s="34">
        <f t="shared" ref="G5" si="0">G3-G4</f>
        <v>306.59999999999997</v>
      </c>
      <c r="H5" s="32"/>
      <c r="J5" s="32"/>
      <c r="K5" s="34">
        <f t="shared" ref="K5" si="1">K3-K4</f>
        <v>533.29999999999995</v>
      </c>
      <c r="L5" s="53">
        <f t="shared" ref="L5:M5" si="2">L3-L4</f>
        <v>507.79999999999995</v>
      </c>
      <c r="M5" s="34">
        <f t="shared" si="2"/>
        <v>463.5</v>
      </c>
      <c r="N5" s="32"/>
      <c r="Q5" s="34">
        <f t="shared" ref="Q5:S5" si="3">Q3-Q4</f>
        <v>468.99399999999997</v>
      </c>
      <c r="R5" s="34">
        <f t="shared" si="3"/>
        <v>666.23599999999999</v>
      </c>
      <c r="S5" s="34">
        <f t="shared" si="3"/>
        <v>945.19999999999993</v>
      </c>
      <c r="T5" s="34">
        <f>T3-T4</f>
        <v>1041.0999999999999</v>
      </c>
      <c r="U5" s="33"/>
    </row>
    <row r="6" spans="1:33" x14ac:dyDescent="0.15">
      <c r="B6" s="1" t="s">
        <v>68</v>
      </c>
      <c r="K6" s="1">
        <v>247.3</v>
      </c>
      <c r="L6" s="52">
        <f t="shared" ref="L6:L13" si="4">T6-K6</f>
        <v>269.2</v>
      </c>
      <c r="M6" s="1">
        <v>224.8</v>
      </c>
      <c r="Q6" s="35">
        <v>207.083</v>
      </c>
      <c r="R6" s="35">
        <v>278.25200000000001</v>
      </c>
      <c r="S6" s="35">
        <v>422</v>
      </c>
      <c r="T6" s="35">
        <v>516.5</v>
      </c>
    </row>
    <row r="7" spans="1:33" x14ac:dyDescent="0.15">
      <c r="B7" s="1" t="s">
        <v>69</v>
      </c>
      <c r="K7" s="51">
        <v>261</v>
      </c>
      <c r="L7" s="52">
        <f t="shared" si="4"/>
        <v>254.29999999999995</v>
      </c>
      <c r="M7" s="1">
        <v>250.5</v>
      </c>
      <c r="Q7" s="35">
        <v>203.47</v>
      </c>
      <c r="R7" s="35">
        <v>297.32600000000002</v>
      </c>
      <c r="S7" s="35">
        <v>400.1</v>
      </c>
      <c r="T7" s="35">
        <v>515.29999999999995</v>
      </c>
    </row>
    <row r="8" spans="1:33" x14ac:dyDescent="0.15">
      <c r="B8" s="1" t="s">
        <v>70</v>
      </c>
      <c r="K8" s="51">
        <v>0</v>
      </c>
      <c r="L8" s="52">
        <f t="shared" si="4"/>
        <v>0.1</v>
      </c>
      <c r="M8" s="35">
        <v>0</v>
      </c>
      <c r="Q8" s="35">
        <v>0.23899999999999999</v>
      </c>
      <c r="R8" s="35">
        <v>0.23799999999999999</v>
      </c>
      <c r="S8" s="35">
        <v>1</v>
      </c>
      <c r="T8" s="35">
        <v>0.1</v>
      </c>
    </row>
    <row r="9" spans="1:33" s="2" customFormat="1" x14ac:dyDescent="0.15">
      <c r="B9" s="2" t="s">
        <v>71</v>
      </c>
      <c r="D9" s="32"/>
      <c r="F9" s="32"/>
      <c r="H9" s="32"/>
      <c r="J9" s="32"/>
      <c r="K9" s="34">
        <f t="shared" ref="K9:M9" si="5">K5-K6-K7+K8</f>
        <v>24.999999999999943</v>
      </c>
      <c r="L9" s="53">
        <f t="shared" si="5"/>
        <v>-15.599999999999989</v>
      </c>
      <c r="M9" s="34">
        <f t="shared" si="5"/>
        <v>-11.800000000000011</v>
      </c>
      <c r="N9" s="32"/>
      <c r="Q9" s="34">
        <f t="shared" ref="Q9:S9" si="6">Q5-Q6-Q7+Q8</f>
        <v>58.679999999999943</v>
      </c>
      <c r="R9" s="34">
        <f t="shared" si="6"/>
        <v>90.895999999999958</v>
      </c>
      <c r="S9" s="34">
        <f t="shared" si="6"/>
        <v>124.09999999999991</v>
      </c>
      <c r="T9" s="34">
        <f>T5-T6-T7+T8</f>
        <v>9.3999999999999542</v>
      </c>
      <c r="U9" s="33"/>
    </row>
    <row r="10" spans="1:33" x14ac:dyDescent="0.15">
      <c r="B10" s="1" t="s">
        <v>72</v>
      </c>
      <c r="K10" s="1">
        <v>0.2</v>
      </c>
      <c r="L10" s="52">
        <f t="shared" si="4"/>
        <v>-0.2</v>
      </c>
      <c r="M10" s="1">
        <v>0.5</v>
      </c>
      <c r="Q10" s="35">
        <v>1.32</v>
      </c>
      <c r="R10" s="35">
        <v>1.716</v>
      </c>
      <c r="S10" s="35">
        <v>0.9</v>
      </c>
      <c r="T10" s="35">
        <v>0</v>
      </c>
    </row>
    <row r="11" spans="1:33" x14ac:dyDescent="0.15">
      <c r="B11" s="1" t="s">
        <v>73</v>
      </c>
      <c r="K11" s="1">
        <v>0.6</v>
      </c>
      <c r="L11" s="52">
        <f t="shared" si="4"/>
        <v>1</v>
      </c>
      <c r="M11" s="1">
        <v>3.9</v>
      </c>
      <c r="Q11" s="35">
        <v>0.14399999999999999</v>
      </c>
      <c r="R11" s="35">
        <v>0.39</v>
      </c>
      <c r="S11" s="35">
        <v>0.3</v>
      </c>
      <c r="T11" s="35">
        <v>1.6</v>
      </c>
    </row>
    <row r="12" spans="1:33" x14ac:dyDescent="0.15">
      <c r="B12" s="1" t="s">
        <v>74</v>
      </c>
      <c r="K12" s="35">
        <f t="shared" ref="K12:M12" si="7">K9+K10-K11</f>
        <v>24.599999999999941</v>
      </c>
      <c r="L12" s="52">
        <f t="shared" si="7"/>
        <v>-16.79999999999999</v>
      </c>
      <c r="M12" s="35">
        <f t="shared" si="7"/>
        <v>-15.200000000000012</v>
      </c>
      <c r="Q12" s="35">
        <f t="shared" ref="Q12:S12" si="8">Q9+Q10-Q11</f>
        <v>59.855999999999945</v>
      </c>
      <c r="R12" s="35">
        <f t="shared" si="8"/>
        <v>92.221999999999952</v>
      </c>
      <c r="S12" s="35">
        <f t="shared" si="8"/>
        <v>124.69999999999992</v>
      </c>
      <c r="T12" s="35">
        <f>T9+T10-T11</f>
        <v>7.7999999999999545</v>
      </c>
    </row>
    <row r="13" spans="1:33" x14ac:dyDescent="0.15">
      <c r="B13" s="1" t="s">
        <v>75</v>
      </c>
      <c r="K13" s="1">
        <v>6.8</v>
      </c>
      <c r="L13" s="52">
        <f t="shared" si="4"/>
        <v>5.0000000000000009</v>
      </c>
      <c r="M13" s="1">
        <v>-0.5</v>
      </c>
      <c r="Q13" s="35">
        <v>12.397</v>
      </c>
      <c r="R13" s="35">
        <v>19.338999999999999</v>
      </c>
      <c r="S13" s="35">
        <v>31.3</v>
      </c>
      <c r="T13" s="35">
        <v>11.8</v>
      </c>
    </row>
    <row r="14" spans="1:33" s="2" customFormat="1" x14ac:dyDescent="0.15">
      <c r="B14" s="2" t="s">
        <v>76</v>
      </c>
      <c r="D14" s="32"/>
      <c r="F14" s="32"/>
      <c r="H14" s="32"/>
      <c r="J14" s="32"/>
      <c r="K14" s="34">
        <f t="shared" ref="K14:M14" si="9">K12-K13</f>
        <v>17.79999999999994</v>
      </c>
      <c r="L14" s="53">
        <f t="shared" si="9"/>
        <v>-21.79999999999999</v>
      </c>
      <c r="M14" s="34">
        <f t="shared" si="9"/>
        <v>-14.700000000000012</v>
      </c>
      <c r="N14" s="32"/>
      <c r="Q14" s="34">
        <f t="shared" ref="Q14:S14" si="10">Q12-Q13</f>
        <v>47.458999999999946</v>
      </c>
      <c r="R14" s="34">
        <f t="shared" si="10"/>
        <v>72.882999999999953</v>
      </c>
      <c r="S14" s="34">
        <f t="shared" si="10"/>
        <v>93.39999999999992</v>
      </c>
      <c r="T14" s="34">
        <f>T12-T13</f>
        <v>-4.0000000000000462</v>
      </c>
      <c r="U14" s="33"/>
    </row>
    <row r="15" spans="1:33" x14ac:dyDescent="0.15">
      <c r="B15" s="1" t="s">
        <v>77</v>
      </c>
      <c r="K15" s="39">
        <f t="shared" ref="K15" si="11">K14/K16</f>
        <v>1.4378029079159887E-2</v>
      </c>
      <c r="L15" s="55">
        <f t="shared" ref="L15:M15" si="12">L14/L16</f>
        <v>-1.7647535011738033E-2</v>
      </c>
      <c r="M15" s="39">
        <f t="shared" si="12"/>
        <v>-1.1857707509881433E-2</v>
      </c>
      <c r="Q15" s="39">
        <f t="shared" ref="Q15:S15" si="13">Q14/Q16</f>
        <v>4.1120997325494929E-2</v>
      </c>
      <c r="R15" s="39">
        <f t="shared" si="13"/>
        <v>6.275579127448444E-2</v>
      </c>
      <c r="S15" s="39">
        <f t="shared" si="13"/>
        <v>7.6513475874498166E-2</v>
      </c>
      <c r="T15" s="39">
        <f>T14/T16</f>
        <v>-3.2380798186675678E-3</v>
      </c>
    </row>
    <row r="16" spans="1:33" x14ac:dyDescent="0.15">
      <c r="B16" s="1" t="s">
        <v>4</v>
      </c>
      <c r="K16" s="35">
        <v>1238</v>
      </c>
      <c r="L16" s="52">
        <f>T16</f>
        <v>1235.3</v>
      </c>
      <c r="M16" s="35">
        <v>1239.7</v>
      </c>
      <c r="P16" s="35"/>
      <c r="Q16" s="35">
        <v>1154.130568</v>
      </c>
      <c r="R16" s="35">
        <v>1161.3748869999999</v>
      </c>
      <c r="S16" s="35">
        <v>1220.7</v>
      </c>
      <c r="T16" s="35">
        <v>1235.3</v>
      </c>
    </row>
    <row r="18" spans="2:21" s="2" customFormat="1" x14ac:dyDescent="0.15">
      <c r="B18" s="2" t="s">
        <v>78</v>
      </c>
      <c r="D18" s="32"/>
      <c r="F18" s="32"/>
      <c r="H18" s="32"/>
      <c r="J18" s="32"/>
      <c r="L18" s="32"/>
      <c r="M18" s="37">
        <f>M3/K3-1</f>
        <v>-9.5808996823445014E-2</v>
      </c>
      <c r="N18" s="32"/>
      <c r="R18" s="37">
        <f t="shared" ref="R18:S18" si="14">R3/Q3-1</f>
        <v>0.44106334313588214</v>
      </c>
      <c r="S18" s="37">
        <f t="shared" si="14"/>
        <v>0.4133402867980267</v>
      </c>
      <c r="T18" s="37">
        <f>T3/S3-1</f>
        <v>0.13607975706182329</v>
      </c>
      <c r="U18" s="33"/>
    </row>
    <row r="19" spans="2:21" x14ac:dyDescent="0.15">
      <c r="B19" s="1" t="s">
        <v>79</v>
      </c>
      <c r="L19" s="54">
        <f>L3/K3-1</f>
        <v>3.176554974894974E-2</v>
      </c>
      <c r="M19" s="36">
        <f>M3/L3-1</f>
        <v>-0.12364683682590127</v>
      </c>
      <c r="P19" s="16" t="s">
        <v>84</v>
      </c>
      <c r="Q19" s="16" t="s">
        <v>84</v>
      </c>
      <c r="R19" s="16" t="s">
        <v>84</v>
      </c>
      <c r="S19" s="16" t="s">
        <v>84</v>
      </c>
      <c r="T19" s="16" t="s">
        <v>84</v>
      </c>
    </row>
    <row r="21" spans="2:21" x14ac:dyDescent="0.15">
      <c r="B21" s="1" t="s">
        <v>80</v>
      </c>
      <c r="G21" s="36">
        <f t="shared" ref="G21" si="15">G5/G3</f>
        <v>0.54275092936802971</v>
      </c>
      <c r="K21" s="36">
        <f t="shared" ref="K21:L21" si="16">K5/K3</f>
        <v>0.54646992519725379</v>
      </c>
      <c r="L21" s="54">
        <f t="shared" si="16"/>
        <v>0.50432019068427847</v>
      </c>
      <c r="M21" s="36">
        <f t="shared" ref="M21" si="17">M5/M3</f>
        <v>0.52527198549410703</v>
      </c>
      <c r="Q21" s="36">
        <f t="shared" ref="Q21:S21" si="18">Q5/Q3</f>
        <v>0.54730196517761287</v>
      </c>
      <c r="R21" s="36">
        <f t="shared" si="18"/>
        <v>0.53951651825770364</v>
      </c>
      <c r="S21" s="36">
        <f t="shared" si="18"/>
        <v>0.54156878473614845</v>
      </c>
      <c r="T21" s="36">
        <f>T5/T3</f>
        <v>0.52506556384910219</v>
      </c>
    </row>
    <row r="22" spans="2:21" x14ac:dyDescent="0.15">
      <c r="B22" s="1" t="s">
        <v>81</v>
      </c>
      <c r="G22" s="36">
        <f t="shared" ref="G22" si="19">G9/G3</f>
        <v>0</v>
      </c>
      <c r="K22" s="36">
        <f t="shared" ref="K22:L22" si="20">K9/K3</f>
        <v>2.5617378829798077E-2</v>
      </c>
      <c r="L22" s="54">
        <f t="shared" si="20"/>
        <v>-1.5493097626377982E-2</v>
      </c>
      <c r="M22" s="36">
        <f t="shared" ref="M22" si="21">M9/M3</f>
        <v>-1.3372620126926577E-2</v>
      </c>
      <c r="Q22" s="36">
        <f t="shared" ref="Q22:S22" si="22">Q9/Q3</f>
        <v>6.8477804229099506E-2</v>
      </c>
      <c r="R22" s="36">
        <f t="shared" si="22"/>
        <v>7.3607390539616901E-2</v>
      </c>
      <c r="S22" s="36">
        <f t="shared" si="22"/>
        <v>7.110525411104103E-2</v>
      </c>
      <c r="T22" s="36">
        <f>T9/T3</f>
        <v>4.7407706273955791E-3</v>
      </c>
    </row>
    <row r="23" spans="2:21" x14ac:dyDescent="0.15">
      <c r="B23" s="1" t="s">
        <v>82</v>
      </c>
      <c r="G23" s="36">
        <f t="shared" ref="G23" si="23">G14/G3</f>
        <v>0</v>
      </c>
      <c r="K23" s="36">
        <f t="shared" ref="K23:L23" si="24">K14/K3</f>
        <v>1.823957372681621E-2</v>
      </c>
      <c r="L23" s="54">
        <f t="shared" si="24"/>
        <v>-2.1650610785579491E-2</v>
      </c>
      <c r="M23" s="36">
        <f t="shared" ref="M23" si="25">M14/M3</f>
        <v>-1.6659111514052596E-2</v>
      </c>
      <c r="Q23" s="36">
        <f t="shared" ref="Q23:S23" si="26">Q14/Q3</f>
        <v>5.5383232973906488E-2</v>
      </c>
      <c r="R23" s="36">
        <f t="shared" si="26"/>
        <v>5.902050084380938E-2</v>
      </c>
      <c r="S23" s="36">
        <f t="shared" si="26"/>
        <v>5.3515154987681154E-2</v>
      </c>
      <c r="T23" s="36">
        <f>T14/T3</f>
        <v>-2.017349203147088E-3</v>
      </c>
    </row>
    <row r="24" spans="2:21" x14ac:dyDescent="0.15">
      <c r="B24" s="1" t="s">
        <v>83</v>
      </c>
      <c r="G24" s="36" t="e">
        <f t="shared" ref="G24" si="27">G13/G12</f>
        <v>#DIV/0!</v>
      </c>
      <c r="K24" s="36">
        <f t="shared" ref="K24:L24" si="28">K13/K12</f>
        <v>0.27642276422764295</v>
      </c>
      <c r="L24" s="54">
        <f t="shared" si="28"/>
        <v>-0.29761904761904784</v>
      </c>
      <c r="M24" s="36">
        <f t="shared" ref="M24" si="29">M13/M12</f>
        <v>3.2894736842105241E-2</v>
      </c>
      <c r="Q24" s="36">
        <f t="shared" ref="Q24:S24" si="30">Q13/Q12</f>
        <v>0.20711373964180721</v>
      </c>
      <c r="R24" s="36">
        <f t="shared" si="30"/>
        <v>0.20970050530242251</v>
      </c>
      <c r="S24" s="36">
        <f t="shared" si="30"/>
        <v>0.25100240577385741</v>
      </c>
      <c r="T24" s="36">
        <f>T13/T12</f>
        <v>1.5128205128205217</v>
      </c>
    </row>
    <row r="27" spans="2:21" x14ac:dyDescent="0.15">
      <c r="B27" s="38" t="s">
        <v>85</v>
      </c>
      <c r="Q27" s="1" t="s">
        <v>108</v>
      </c>
    </row>
    <row r="28" spans="2:21" x14ac:dyDescent="0.15">
      <c r="B28" s="1" t="s">
        <v>86</v>
      </c>
      <c r="K28" s="35">
        <v>121.6</v>
      </c>
      <c r="L28" s="52">
        <f t="shared" ref="L28:L40" si="31">T28</f>
        <v>128.5</v>
      </c>
      <c r="M28" s="35">
        <v>131.4</v>
      </c>
      <c r="S28" s="35">
        <v>118.3</v>
      </c>
      <c r="T28" s="35">
        <v>128.5</v>
      </c>
    </row>
    <row r="29" spans="2:21" x14ac:dyDescent="0.15">
      <c r="B29" s="1" t="s">
        <v>87</v>
      </c>
      <c r="K29" s="35">
        <v>287.89999999999998</v>
      </c>
      <c r="L29" s="52">
        <f t="shared" si="31"/>
        <v>349.2</v>
      </c>
      <c r="M29" s="35">
        <v>358.8</v>
      </c>
      <c r="S29" s="35">
        <v>141.6</v>
      </c>
      <c r="T29" s="35">
        <v>349.2</v>
      </c>
    </row>
    <row r="30" spans="2:21" x14ac:dyDescent="0.15">
      <c r="B30" s="1" t="s">
        <v>88</v>
      </c>
      <c r="K30" s="35">
        <v>53.6</v>
      </c>
      <c r="L30" s="52">
        <f t="shared" si="31"/>
        <v>49.7</v>
      </c>
      <c r="M30" s="35">
        <v>60.7</v>
      </c>
      <c r="S30" s="35">
        <v>16.7</v>
      </c>
      <c r="T30" s="35">
        <v>49.7</v>
      </c>
    </row>
    <row r="31" spans="2:21" s="2" customFormat="1" x14ac:dyDescent="0.15">
      <c r="B31" s="2" t="s">
        <v>89</v>
      </c>
      <c r="D31" s="32"/>
      <c r="F31" s="32"/>
      <c r="H31" s="32"/>
      <c r="J31" s="32"/>
      <c r="K31" s="34">
        <v>7.3</v>
      </c>
      <c r="L31" s="53">
        <f t="shared" si="31"/>
        <v>2.8</v>
      </c>
      <c r="M31" s="34">
        <v>0.7</v>
      </c>
      <c r="N31" s="32"/>
      <c r="S31" s="34">
        <v>13.1</v>
      </c>
      <c r="T31" s="34">
        <v>2.8</v>
      </c>
      <c r="U31" s="33"/>
    </row>
    <row r="32" spans="2:21" x14ac:dyDescent="0.15">
      <c r="B32" s="1" t="s">
        <v>125</v>
      </c>
      <c r="K32" s="35">
        <v>0</v>
      </c>
      <c r="L32" s="52">
        <f t="shared" si="31"/>
        <v>0</v>
      </c>
      <c r="M32" s="35">
        <v>6.5</v>
      </c>
      <c r="S32" s="35">
        <v>0</v>
      </c>
      <c r="T32" s="35">
        <v>0</v>
      </c>
    </row>
    <row r="33" spans="2:21" x14ac:dyDescent="0.15">
      <c r="B33" s="1" t="s">
        <v>90</v>
      </c>
      <c r="K33" s="35">
        <v>2.2999999999999998</v>
      </c>
      <c r="L33" s="52">
        <f t="shared" si="31"/>
        <v>7.5</v>
      </c>
      <c r="M33" s="35">
        <v>7.4</v>
      </c>
      <c r="S33" s="35">
        <v>3.2</v>
      </c>
      <c r="T33" s="35">
        <v>7.5</v>
      </c>
    </row>
    <row r="34" spans="2:21" x14ac:dyDescent="0.15">
      <c r="B34" s="1" t="s">
        <v>91</v>
      </c>
      <c r="K34" s="35">
        <f>SUM(K28:K33)</f>
        <v>472.70000000000005</v>
      </c>
      <c r="L34" s="52">
        <f t="shared" si="31"/>
        <v>537.69999999999993</v>
      </c>
      <c r="M34" s="35">
        <f>SUM(M28:M33)</f>
        <v>565.50000000000011</v>
      </c>
      <c r="S34" s="35">
        <f>SUM(S28:S33)</f>
        <v>292.89999999999998</v>
      </c>
      <c r="T34" s="35">
        <f>SUM(T28:T33)</f>
        <v>537.69999999999993</v>
      </c>
    </row>
    <row r="35" spans="2:21" s="2" customFormat="1" x14ac:dyDescent="0.15">
      <c r="B35" s="2" t="s">
        <v>92</v>
      </c>
      <c r="D35" s="32"/>
      <c r="F35" s="32"/>
      <c r="H35" s="32"/>
      <c r="J35" s="32"/>
      <c r="K35" s="34">
        <v>255.2</v>
      </c>
      <c r="L35" s="53">
        <f t="shared" si="31"/>
        <v>279.39999999999998</v>
      </c>
      <c r="M35" s="34">
        <v>269.7</v>
      </c>
      <c r="N35" s="32"/>
      <c r="S35" s="34">
        <v>144.9</v>
      </c>
      <c r="T35" s="34">
        <v>279.39999999999998</v>
      </c>
      <c r="U35" s="33"/>
    </row>
    <row r="36" spans="2:21" x14ac:dyDescent="0.15">
      <c r="B36" s="1" t="s">
        <v>93</v>
      </c>
      <c r="K36" s="35">
        <v>47.5</v>
      </c>
      <c r="L36" s="52">
        <f t="shared" si="31"/>
        <v>58</v>
      </c>
      <c r="M36" s="35">
        <v>61.6</v>
      </c>
      <c r="S36" s="35">
        <v>40.6</v>
      </c>
      <c r="T36" s="35">
        <v>58</v>
      </c>
    </row>
    <row r="37" spans="2:21" s="2" customFormat="1" x14ac:dyDescent="0.15">
      <c r="B37" s="2" t="s">
        <v>89</v>
      </c>
      <c r="D37" s="32"/>
      <c r="F37" s="32"/>
      <c r="H37" s="32"/>
      <c r="J37" s="32"/>
      <c r="K37" s="34">
        <v>15.9</v>
      </c>
      <c r="L37" s="53">
        <f t="shared" si="31"/>
        <v>14.2</v>
      </c>
      <c r="M37" s="34">
        <v>12</v>
      </c>
      <c r="N37" s="32"/>
      <c r="S37" s="34">
        <v>17.100000000000001</v>
      </c>
      <c r="T37" s="34">
        <v>14.2</v>
      </c>
      <c r="U37" s="33"/>
    </row>
    <row r="38" spans="2:21" x14ac:dyDescent="0.15">
      <c r="B38" s="1" t="s">
        <v>94</v>
      </c>
      <c r="K38" s="35">
        <v>3</v>
      </c>
      <c r="L38" s="52">
        <f t="shared" si="31"/>
        <v>7.8</v>
      </c>
      <c r="M38" s="35">
        <v>6.5</v>
      </c>
      <c r="S38" s="35">
        <v>4.4000000000000004</v>
      </c>
      <c r="T38" s="35">
        <v>7.8</v>
      </c>
    </row>
    <row r="39" spans="2:21" s="2" customFormat="1" x14ac:dyDescent="0.15">
      <c r="B39" s="2" t="s">
        <v>95</v>
      </c>
      <c r="D39" s="32"/>
      <c r="F39" s="32"/>
      <c r="H39" s="32"/>
      <c r="J39" s="32"/>
      <c r="K39" s="34">
        <v>148.4</v>
      </c>
      <c r="L39" s="53">
        <f t="shared" si="31"/>
        <v>101.3</v>
      </c>
      <c r="M39" s="34">
        <v>314.60000000000002</v>
      </c>
      <c r="N39" s="32"/>
      <c r="S39" s="34">
        <v>276</v>
      </c>
      <c r="T39" s="34">
        <v>101.3</v>
      </c>
      <c r="U39" s="33"/>
    </row>
    <row r="40" spans="2:21" x14ac:dyDescent="0.15">
      <c r="B40" s="1" t="s">
        <v>96</v>
      </c>
      <c r="K40" s="35">
        <f>K34+SUM(K35:K39)</f>
        <v>942.7</v>
      </c>
      <c r="L40" s="52">
        <f t="shared" si="31"/>
        <v>998.39999999999986</v>
      </c>
      <c r="M40" s="35">
        <f>M34+SUM(M35:M39)</f>
        <v>1229.9000000000001</v>
      </c>
      <c r="S40" s="35">
        <f>S34+SUM(S35:S39)</f>
        <v>775.9</v>
      </c>
      <c r="T40" s="35">
        <f>T34+SUM(T35:T39)</f>
        <v>998.39999999999986</v>
      </c>
    </row>
    <row r="41" spans="2:21" x14ac:dyDescent="0.15">
      <c r="S41" s="35"/>
      <c r="T41" s="35"/>
    </row>
    <row r="42" spans="2:21" x14ac:dyDescent="0.15">
      <c r="B42" s="1" t="s">
        <v>97</v>
      </c>
      <c r="K42" s="35">
        <v>295.5</v>
      </c>
      <c r="L42" s="52">
        <f>T42</f>
        <v>296.60000000000002</v>
      </c>
      <c r="M42" s="1">
        <v>291.5</v>
      </c>
      <c r="S42" s="35">
        <v>222.9</v>
      </c>
      <c r="T42" s="35">
        <v>296.60000000000002</v>
      </c>
    </row>
    <row r="43" spans="2:21" x14ac:dyDescent="0.15">
      <c r="B43" s="1" t="s">
        <v>98</v>
      </c>
      <c r="K43" s="35">
        <v>54.3</v>
      </c>
      <c r="L43" s="52">
        <f t="shared" ref="L43:L52" si="32">T43</f>
        <v>53.5</v>
      </c>
      <c r="M43" s="1">
        <v>62.5</v>
      </c>
      <c r="S43" s="35">
        <v>53.5</v>
      </c>
      <c r="T43" s="35">
        <v>53.5</v>
      </c>
    </row>
    <row r="44" spans="2:21" s="2" customFormat="1" x14ac:dyDescent="0.15">
      <c r="B44" s="2" t="s">
        <v>99</v>
      </c>
      <c r="D44" s="32"/>
      <c r="F44" s="32"/>
      <c r="H44" s="32"/>
      <c r="J44" s="32"/>
      <c r="K44" s="34">
        <v>50</v>
      </c>
      <c r="L44" s="53">
        <f t="shared" si="32"/>
        <v>100</v>
      </c>
      <c r="M44" s="2">
        <v>0</v>
      </c>
      <c r="N44" s="32"/>
      <c r="S44" s="34">
        <v>0</v>
      </c>
      <c r="T44" s="34">
        <v>100</v>
      </c>
      <c r="U44" s="33"/>
    </row>
    <row r="45" spans="2:21" x14ac:dyDescent="0.15">
      <c r="B45" s="1" t="s">
        <v>100</v>
      </c>
      <c r="K45" s="35">
        <v>8.1</v>
      </c>
      <c r="L45" s="52">
        <f t="shared" si="32"/>
        <v>7.9</v>
      </c>
      <c r="M45" s="1">
        <v>8.1</v>
      </c>
      <c r="S45" s="35">
        <v>6.7</v>
      </c>
      <c r="T45" s="35">
        <v>7.9</v>
      </c>
    </row>
    <row r="46" spans="2:21" s="2" customFormat="1" x14ac:dyDescent="0.15">
      <c r="B46" s="2" t="s">
        <v>101</v>
      </c>
      <c r="D46" s="32"/>
      <c r="F46" s="32"/>
      <c r="H46" s="32"/>
      <c r="J46" s="32"/>
      <c r="K46" s="34">
        <v>1.4</v>
      </c>
      <c r="L46" s="53">
        <f t="shared" si="32"/>
        <v>3.7</v>
      </c>
      <c r="M46" s="2">
        <v>27.7</v>
      </c>
      <c r="N46" s="32"/>
      <c r="S46" s="34">
        <v>2.6</v>
      </c>
      <c r="T46" s="34">
        <v>3.7</v>
      </c>
      <c r="U46" s="33"/>
    </row>
    <row r="47" spans="2:21" x14ac:dyDescent="0.15">
      <c r="B47" s="1" t="s">
        <v>102</v>
      </c>
      <c r="K47" s="35">
        <f>SUM(K42:K46)</f>
        <v>409.3</v>
      </c>
      <c r="L47" s="52">
        <f t="shared" si="32"/>
        <v>461.7</v>
      </c>
      <c r="M47" s="35">
        <f>SUM(M42:M46)</f>
        <v>389.8</v>
      </c>
      <c r="S47" s="35">
        <f>SUM(S42:S46)</f>
        <v>285.7</v>
      </c>
      <c r="T47" s="35">
        <f>SUM(T42:T46)</f>
        <v>461.7</v>
      </c>
    </row>
    <row r="48" spans="2:21" s="2" customFormat="1" x14ac:dyDescent="0.15">
      <c r="B48" s="2" t="s">
        <v>99</v>
      </c>
      <c r="D48" s="32"/>
      <c r="F48" s="32"/>
      <c r="H48" s="32"/>
      <c r="J48" s="32"/>
      <c r="K48" s="34">
        <v>0</v>
      </c>
      <c r="L48" s="53">
        <f t="shared" si="32"/>
        <v>0</v>
      </c>
      <c r="M48" s="34">
        <v>325</v>
      </c>
      <c r="N48" s="32"/>
      <c r="S48" s="34">
        <v>0</v>
      </c>
      <c r="T48" s="34">
        <v>0</v>
      </c>
      <c r="U48" s="33"/>
    </row>
    <row r="49" spans="2:21" x14ac:dyDescent="0.15">
      <c r="B49" s="1" t="s">
        <v>100</v>
      </c>
      <c r="K49" s="1">
        <v>46.5</v>
      </c>
      <c r="L49" s="52">
        <f t="shared" si="32"/>
        <v>44</v>
      </c>
      <c r="M49" s="1">
        <v>54.6</v>
      </c>
      <c r="S49" s="35">
        <v>11.6</v>
      </c>
      <c r="T49" s="35">
        <v>44</v>
      </c>
    </row>
    <row r="50" spans="2:21" s="2" customFormat="1" x14ac:dyDescent="0.15">
      <c r="B50" s="2" t="s">
        <v>101</v>
      </c>
      <c r="D50" s="32"/>
      <c r="F50" s="32"/>
      <c r="H50" s="32"/>
      <c r="J50" s="32"/>
      <c r="K50" s="2">
        <v>1.7</v>
      </c>
      <c r="L50" s="53">
        <f t="shared" si="32"/>
        <v>3.1</v>
      </c>
      <c r="M50" s="2">
        <v>11.2</v>
      </c>
      <c r="N50" s="32"/>
      <c r="S50" s="34">
        <v>1.9</v>
      </c>
      <c r="T50" s="34">
        <v>3.1</v>
      </c>
      <c r="U50" s="33"/>
    </row>
    <row r="51" spans="2:21" x14ac:dyDescent="0.15">
      <c r="B51" s="1" t="s">
        <v>90</v>
      </c>
      <c r="K51" s="1">
        <v>3.8</v>
      </c>
      <c r="L51" s="52">
        <f t="shared" si="32"/>
        <v>25.3</v>
      </c>
      <c r="M51" s="1">
        <v>24.7</v>
      </c>
      <c r="S51" s="35">
        <v>4.2</v>
      </c>
      <c r="T51" s="35">
        <v>25.3</v>
      </c>
    </row>
    <row r="52" spans="2:21" x14ac:dyDescent="0.15">
      <c r="B52" s="1" t="s">
        <v>103</v>
      </c>
      <c r="K52" s="35">
        <f>K47+SUM(K48:K51)</f>
        <v>461.3</v>
      </c>
      <c r="L52" s="52">
        <f t="shared" si="32"/>
        <v>534.1</v>
      </c>
      <c r="M52" s="35">
        <f>M47+SUM(M48:M51)</f>
        <v>805.3</v>
      </c>
      <c r="S52" s="35">
        <f>S47+SUM(S48:S51)</f>
        <v>303.39999999999998</v>
      </c>
      <c r="T52" s="35">
        <f>T47+SUM(T48:T51)</f>
        <v>534.1</v>
      </c>
    </row>
    <row r="53" spans="2:21" x14ac:dyDescent="0.15">
      <c r="T53" s="35"/>
    </row>
    <row r="54" spans="2:21" x14ac:dyDescent="0.15">
      <c r="B54" s="1" t="s">
        <v>104</v>
      </c>
      <c r="K54" s="1">
        <v>481.4</v>
      </c>
      <c r="L54" s="52">
        <f>T54</f>
        <v>464.3</v>
      </c>
      <c r="M54" s="1">
        <v>424.6</v>
      </c>
      <c r="S54" s="1">
        <v>472.5</v>
      </c>
      <c r="T54" s="35">
        <v>464.3</v>
      </c>
    </row>
    <row r="55" spans="2:21" x14ac:dyDescent="0.15">
      <c r="B55" s="1" t="s">
        <v>105</v>
      </c>
      <c r="K55" s="35">
        <f>K54+K52</f>
        <v>942.7</v>
      </c>
      <c r="L55" s="52">
        <f>L54+L52</f>
        <v>998.40000000000009</v>
      </c>
      <c r="M55" s="35">
        <f>M54+M52</f>
        <v>1229.9000000000001</v>
      </c>
      <c r="S55" s="35">
        <f>S54+S52</f>
        <v>775.9</v>
      </c>
      <c r="T55" s="35">
        <f>T54+T52</f>
        <v>998.40000000000009</v>
      </c>
    </row>
    <row r="57" spans="2:21" x14ac:dyDescent="0.15">
      <c r="B57" s="1" t="s">
        <v>106</v>
      </c>
      <c r="K57" s="35">
        <f t="shared" ref="K57:M57" si="33">K40-K52</f>
        <v>481.40000000000003</v>
      </c>
      <c r="L57" s="52">
        <f t="shared" ref="L57" si="34">L40-L52</f>
        <v>464.29999999999984</v>
      </c>
      <c r="M57" s="35">
        <f t="shared" si="33"/>
        <v>424.60000000000014</v>
      </c>
      <c r="S57" s="35">
        <f t="shared" ref="S57" si="35">S40-S52</f>
        <v>472.5</v>
      </c>
      <c r="T57" s="35">
        <f>T40-T52</f>
        <v>464.29999999999984</v>
      </c>
    </row>
    <row r="58" spans="2:21" x14ac:dyDescent="0.15">
      <c r="B58" s="1" t="s">
        <v>107</v>
      </c>
      <c r="K58" s="1">
        <f>K57/K16</f>
        <v>0.38885298869143781</v>
      </c>
      <c r="L58" s="29">
        <f>L57/L16</f>
        <v>0.37586011495183347</v>
      </c>
      <c r="M58" s="1">
        <f>M57/M16</f>
        <v>0.34250221827861588</v>
      </c>
      <c r="S58" s="1">
        <f>S57/S16</f>
        <v>0.38707299090685671</v>
      </c>
      <c r="T58" s="1">
        <f>T57/T16</f>
        <v>0.37586011495183347</v>
      </c>
    </row>
    <row r="60" spans="2:21" s="40" customFormat="1" x14ac:dyDescent="0.15">
      <c r="B60" s="40" t="s">
        <v>117</v>
      </c>
      <c r="D60" s="41"/>
      <c r="F60" s="41"/>
      <c r="H60" s="41"/>
      <c r="J60" s="41"/>
      <c r="L60" s="56"/>
      <c r="M60" s="44">
        <f>M59+M35/K35-1</f>
        <v>5.6818181818181879E-2</v>
      </c>
      <c r="N60" s="41"/>
      <c r="T60" s="44">
        <f>T35/S35-1</f>
        <v>0.92822636300897154</v>
      </c>
      <c r="U60" s="42"/>
    </row>
    <row r="61" spans="2:21" s="40" customFormat="1" x14ac:dyDescent="0.15">
      <c r="B61" s="40" t="s">
        <v>118</v>
      </c>
      <c r="D61" s="41"/>
      <c r="F61" s="41"/>
      <c r="H61" s="41"/>
      <c r="J61" s="41"/>
      <c r="L61" s="56">
        <f>L35/K35-1</f>
        <v>9.4827586206896575E-2</v>
      </c>
      <c r="M61" s="44">
        <f>M35/L35-1</f>
        <v>-3.4717251252684322E-2</v>
      </c>
      <c r="N61" s="41"/>
      <c r="S61" s="45" t="s">
        <v>84</v>
      </c>
      <c r="T61" s="45" t="s">
        <v>84</v>
      </c>
      <c r="U61" s="42"/>
    </row>
    <row r="63" spans="2:21" s="40" customFormat="1" x14ac:dyDescent="0.15">
      <c r="B63" s="40" t="s">
        <v>6</v>
      </c>
      <c r="D63" s="41"/>
      <c r="F63" s="41"/>
      <c r="H63" s="41"/>
      <c r="J63" s="41"/>
      <c r="K63" s="43">
        <f>K31+K37+K39</f>
        <v>171.6</v>
      </c>
      <c r="L63" s="57">
        <f>L31+L37+L39</f>
        <v>118.3</v>
      </c>
      <c r="M63" s="43">
        <f>M31+M37+M39</f>
        <v>327.3</v>
      </c>
      <c r="N63" s="41"/>
      <c r="S63" s="43">
        <f>S31+S37+S39</f>
        <v>306.2</v>
      </c>
      <c r="T63" s="43">
        <f>T31+T37+T39</f>
        <v>118.3</v>
      </c>
      <c r="U63" s="42"/>
    </row>
    <row r="64" spans="2:21" s="40" customFormat="1" x14ac:dyDescent="0.15">
      <c r="B64" s="40" t="s">
        <v>7</v>
      </c>
      <c r="D64" s="41"/>
      <c r="F64" s="41"/>
      <c r="H64" s="41"/>
      <c r="J64" s="41"/>
      <c r="K64" s="43">
        <f>K44+K46+K48+K50</f>
        <v>53.1</v>
      </c>
      <c r="L64" s="57">
        <f>L44+L46+L48+L50</f>
        <v>106.8</v>
      </c>
      <c r="M64" s="43">
        <f>M44+M46+M48+M50</f>
        <v>363.9</v>
      </c>
      <c r="N64" s="41"/>
      <c r="S64" s="43">
        <f>S44+S46+S48+S50</f>
        <v>4.5</v>
      </c>
      <c r="T64" s="43">
        <f>T44+T46+T48+T50</f>
        <v>106.8</v>
      </c>
      <c r="U64" s="42"/>
    </row>
    <row r="65" spans="2:21" x14ac:dyDescent="0.15">
      <c r="B65" s="1" t="s">
        <v>8</v>
      </c>
      <c r="K65" s="35">
        <f t="shared" ref="K65" si="36">K63-K64</f>
        <v>118.5</v>
      </c>
      <c r="L65" s="52">
        <f t="shared" ref="L65:M65" si="37">L63-L64</f>
        <v>11.5</v>
      </c>
      <c r="M65" s="35">
        <f t="shared" si="37"/>
        <v>-36.599999999999966</v>
      </c>
      <c r="S65" s="35">
        <f t="shared" ref="S65" si="38">S63-S64</f>
        <v>301.7</v>
      </c>
      <c r="T65" s="35">
        <f>T63-T64</f>
        <v>11.5</v>
      </c>
    </row>
    <row r="67" spans="2:21" x14ac:dyDescent="0.15">
      <c r="B67" s="1" t="s">
        <v>120</v>
      </c>
      <c r="S67" s="1">
        <v>3.3690000000000002</v>
      </c>
      <c r="T67" s="1">
        <v>0.89439999999999997</v>
      </c>
    </row>
    <row r="68" spans="2:21" x14ac:dyDescent="0.15">
      <c r="B68" s="1" t="s">
        <v>121</v>
      </c>
      <c r="S68" s="35">
        <f>S67*S16</f>
        <v>4112.5383000000002</v>
      </c>
      <c r="T68" s="35">
        <f>T67*T16</f>
        <v>1104.85232</v>
      </c>
    </row>
    <row r="69" spans="2:21" x14ac:dyDescent="0.15">
      <c r="B69" s="1" t="s">
        <v>9</v>
      </c>
      <c r="S69" s="35">
        <f t="shared" ref="S69" si="39">S68-S65</f>
        <v>3810.8383000000003</v>
      </c>
      <c r="T69" s="35">
        <f>T68-T65</f>
        <v>1093.35232</v>
      </c>
    </row>
    <row r="71" spans="2:21" x14ac:dyDescent="0.15">
      <c r="B71" s="1" t="s">
        <v>119</v>
      </c>
      <c r="S71" s="46">
        <f>S68/S3</f>
        <v>2.3563503695639718</v>
      </c>
      <c r="T71" s="46">
        <f>T68/T3</f>
        <v>0.5572182368367965</v>
      </c>
    </row>
    <row r="72" spans="2:21" x14ac:dyDescent="0.15">
      <c r="B72" s="1" t="s">
        <v>110</v>
      </c>
      <c r="S72" s="47">
        <f>S67/S15</f>
        <v>44.031459314775205</v>
      </c>
      <c r="T72" s="47">
        <f>T67/T15</f>
        <v>-276.21307999999681</v>
      </c>
    </row>
    <row r="73" spans="2:21" x14ac:dyDescent="0.15">
      <c r="B73" s="1" t="s">
        <v>112</v>
      </c>
      <c r="S73" s="47"/>
      <c r="T73" s="47"/>
    </row>
    <row r="74" spans="2:21" s="36" customFormat="1" x14ac:dyDescent="0.15">
      <c r="B74" s="36" t="s">
        <v>111</v>
      </c>
      <c r="D74" s="54"/>
      <c r="F74" s="54"/>
      <c r="H74" s="54"/>
      <c r="J74" s="54"/>
      <c r="L74" s="54">
        <f>SUM(K9:L9)/L57</f>
        <v>2.0245530906741239E-2</v>
      </c>
      <c r="M74" s="36">
        <f>SUM(L9:M9)/M57</f>
        <v>-6.4531323598681092E-2</v>
      </c>
      <c r="N74" s="54"/>
      <c r="S74" s="36">
        <f t="shared" ref="S74:T74" si="40">S9/S57</f>
        <v>0.26264550264550246</v>
      </c>
      <c r="T74" s="36">
        <f>T9/T57</f>
        <v>2.0245530906741239E-2</v>
      </c>
      <c r="U74" s="75"/>
    </row>
    <row r="76" spans="2:21" x14ac:dyDescent="0.15">
      <c r="B76" s="1" t="s">
        <v>123</v>
      </c>
      <c r="K76" s="36">
        <f t="shared" ref="K76:M76" si="41">K35/K3</f>
        <v>0.26150220309457933</v>
      </c>
      <c r="L76" s="54">
        <f t="shared" si="41"/>
        <v>0.27748535107756478</v>
      </c>
      <c r="M76" s="36">
        <f t="shared" si="41"/>
        <v>0.30564369900271987</v>
      </c>
      <c r="S76" s="36">
        <f>S35/S3</f>
        <v>8.3022975992666018E-2</v>
      </c>
      <c r="T76" s="36">
        <f>T35/T3</f>
        <v>0.14091184183982247</v>
      </c>
    </row>
  </sheetData>
  <hyperlinks>
    <hyperlink ref="S1" r:id="rId1" xr:uid="{868B1C50-1AB4-43FF-A210-52A1DBC878DF}"/>
    <hyperlink ref="T1" r:id="rId2" xr:uid="{DFCB8889-0A22-423D-8EC4-B0D2FE16DFFA}"/>
    <hyperlink ref="R1" r:id="rId3" xr:uid="{78B8AC1F-FD53-46AE-A2CA-AAA2E877D159}"/>
    <hyperlink ref="M1" r:id="rId4" xr:uid="{7DC31A22-37BE-8C46-95E4-EADCCEF4CBD1}"/>
  </hyperlinks>
  <pageMargins left="0.7" right="0.7" top="0.75" bottom="0.75" header="0.3" footer="0.3"/>
  <pageSetup paperSize="256" orientation="portrait" horizontalDpi="203" verticalDpi="203" r:id="rId5"/>
  <ignoredErrors>
    <ignoredError sqref="L5:L13 L34 L40 L47:L52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2022-08-21T15:06:12Z</dcterms:created>
  <dcterms:modified xsi:type="dcterms:W3CDTF">2022-11-23T20:06:47Z</dcterms:modified>
</cp:coreProperties>
</file>