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85C1DAD-FB84-9041-B9BA-703120E8A184}" xr6:coauthVersionLast="47" xr6:coauthVersionMax="47" xr10:uidLastSave="{00000000-0000-0000-0000-000000000000}"/>
  <bookViews>
    <workbookView xWindow="0" yWindow="500" windowWidth="30380" windowHeight="18900" xr2:uid="{DFC76227-194F-45DA-B2FC-C5CD2E3C132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A89" i="2"/>
  <c r="T89" i="2"/>
  <c r="S89" i="2"/>
  <c r="R89" i="2"/>
  <c r="U89" i="2"/>
  <c r="U85" i="2"/>
  <c r="T81" i="2"/>
  <c r="S81" i="2"/>
  <c r="R81" i="2"/>
  <c r="T76" i="2"/>
  <c r="S76" i="2"/>
  <c r="S73" i="2"/>
  <c r="R73" i="2"/>
  <c r="R74" i="2" s="1"/>
  <c r="S72" i="2"/>
  <c r="S74" i="2" s="1"/>
  <c r="R72" i="2"/>
  <c r="S64" i="2"/>
  <c r="S67" i="2" s="1"/>
  <c r="R58" i="2"/>
  <c r="R64" i="2" s="1"/>
  <c r="R67" i="2" s="1"/>
  <c r="S58" i="2"/>
  <c r="R45" i="2"/>
  <c r="R51" i="2" s="1"/>
  <c r="R69" i="2" s="1"/>
  <c r="R70" i="2" s="1"/>
  <c r="R84" i="2" s="1"/>
  <c r="S45" i="2"/>
  <c r="S51" i="2" s="1"/>
  <c r="S69" i="2" s="1"/>
  <c r="S70" i="2" s="1"/>
  <c r="S84" i="2" s="1"/>
  <c r="S6" i="2"/>
  <c r="S78" i="2" s="1"/>
  <c r="R6" i="2"/>
  <c r="R78" i="2" s="1"/>
  <c r="U81" i="2"/>
  <c r="U76" i="2"/>
  <c r="T78" i="2"/>
  <c r="T73" i="2"/>
  <c r="T74" i="2" s="1"/>
  <c r="T72" i="2"/>
  <c r="T58" i="2"/>
  <c r="T64" i="2" s="1"/>
  <c r="T67" i="2" s="1"/>
  <c r="T45" i="2"/>
  <c r="T51" i="2" s="1"/>
  <c r="T69" i="2" s="1"/>
  <c r="T70" i="2" s="1"/>
  <c r="T84" i="2" s="1"/>
  <c r="U78" i="2"/>
  <c r="C27" i="1"/>
  <c r="U58" i="2"/>
  <c r="U64" i="2" s="1"/>
  <c r="U67" i="2" s="1"/>
  <c r="U45" i="2"/>
  <c r="U51" i="2" s="1"/>
  <c r="U69" i="2" s="1"/>
  <c r="U70" i="2" s="1"/>
  <c r="C7" i="1"/>
  <c r="U73" i="2"/>
  <c r="C10" i="1" s="1"/>
  <c r="U72" i="2"/>
  <c r="C9" i="1" s="1"/>
  <c r="T6" i="2"/>
  <c r="T9" i="2" s="1"/>
  <c r="U6" i="2"/>
  <c r="U9" i="2" s="1"/>
  <c r="C37" i="1" l="1"/>
  <c r="U84" i="2"/>
  <c r="A84" i="2" s="1"/>
  <c r="T82" i="2"/>
  <c r="T86" i="2" s="1"/>
  <c r="U15" i="2"/>
  <c r="U31" i="2"/>
  <c r="A78" i="2"/>
  <c r="R82" i="2"/>
  <c r="R86" i="2" s="1"/>
  <c r="R9" i="2"/>
  <c r="S9" i="2"/>
  <c r="R85" i="2"/>
  <c r="S28" i="2"/>
  <c r="T28" i="2"/>
  <c r="T85" i="2"/>
  <c r="S82" i="2"/>
  <c r="S86" i="2" s="1"/>
  <c r="U28" i="2"/>
  <c r="S85" i="2"/>
  <c r="T31" i="2"/>
  <c r="T15" i="2"/>
  <c r="T22" i="2" s="1"/>
  <c r="U74" i="2"/>
  <c r="U82" i="2" s="1"/>
  <c r="U86" i="2" s="1"/>
  <c r="C8" i="1"/>
  <c r="C34" i="1" s="1"/>
  <c r="C11" i="1"/>
  <c r="A85" i="2" l="1"/>
  <c r="U22" i="2"/>
  <c r="U32" i="2"/>
  <c r="S31" i="2"/>
  <c r="S15" i="2"/>
  <c r="R31" i="2"/>
  <c r="R15" i="2"/>
  <c r="A86" i="2"/>
  <c r="T32" i="2"/>
  <c r="C12" i="1"/>
  <c r="C36" i="1" s="1"/>
  <c r="R32" i="2" l="1"/>
  <c r="R22" i="2"/>
  <c r="S32" i="2"/>
  <c r="S22" i="2"/>
  <c r="U34" i="2"/>
  <c r="U24" i="2"/>
  <c r="T34" i="2"/>
  <c r="T24" i="2"/>
  <c r="U25" i="2" l="1"/>
  <c r="U33" i="2"/>
  <c r="S34" i="2"/>
  <c r="S24" i="2"/>
  <c r="R24" i="2"/>
  <c r="R34" i="2"/>
  <c r="T25" i="2"/>
  <c r="T33" i="2"/>
  <c r="R25" i="2" l="1"/>
  <c r="R87" i="2" s="1"/>
  <c r="R33" i="2"/>
  <c r="S33" i="2"/>
  <c r="S25" i="2"/>
  <c r="S87" i="2" s="1"/>
  <c r="U87" i="2"/>
  <c r="C35" i="1"/>
  <c r="A87" i="2" l="1"/>
</calcChain>
</file>

<file path=xl/sharedStrings.xml><?xml version="1.0" encoding="utf-8"?>
<sst xmlns="http://schemas.openxmlformats.org/spreadsheetml/2006/main" count="176" uniqueCount="144">
  <si>
    <t>£FRAS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</si>
  <si>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</si>
  <si>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</si>
  <si>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</si>
  <si>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</si>
  <si>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</si>
  <si>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</si>
  <si>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</si>
  <si>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</si>
  <si>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</si>
  <si>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</si>
  <si>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</si>
  <si>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HQ</t>
  </si>
  <si>
    <t>Founded</t>
  </si>
  <si>
    <t>Stores</t>
  </si>
  <si>
    <t>Inv.</t>
  </si>
  <si>
    <t>Update</t>
  </si>
  <si>
    <t>IR</t>
  </si>
  <si>
    <t>Frasers Group Plc.</t>
  </si>
  <si>
    <t>Brands, Products &amp; Stores</t>
  </si>
  <si>
    <t>Store</t>
  </si>
  <si>
    <t>No. Stores 21</t>
  </si>
  <si>
    <t>18Montrose</t>
  </si>
  <si>
    <t>Evans Cycles</t>
  </si>
  <si>
    <t>Flannels</t>
  </si>
  <si>
    <t>Frasers</t>
  </si>
  <si>
    <t>GAME</t>
  </si>
  <si>
    <t>House of Fraser</t>
  </si>
  <si>
    <t>Jack Wills</t>
  </si>
  <si>
    <t>Sofa.com</t>
  </si>
  <si>
    <t>Sports Direct</t>
  </si>
  <si>
    <t>USC</t>
  </si>
  <si>
    <t>Mike Ashey</t>
  </si>
  <si>
    <t>Founder</t>
  </si>
  <si>
    <t>Mansfiled, UK</t>
  </si>
  <si>
    <t>Everlast</t>
  </si>
  <si>
    <t>Slazanger</t>
  </si>
  <si>
    <t>Lonsdale</t>
  </si>
  <si>
    <t>Link</t>
  </si>
  <si>
    <t>EV/E</t>
  </si>
  <si>
    <t>P/E</t>
  </si>
  <si>
    <t>P/B</t>
  </si>
  <si>
    <t>P/E 21</t>
  </si>
  <si>
    <t>EV/E 21</t>
  </si>
  <si>
    <t>EV/E 20</t>
  </si>
  <si>
    <t>Brands</t>
  </si>
  <si>
    <t>H122</t>
  </si>
  <si>
    <t>H222</t>
  </si>
  <si>
    <t>H221</t>
  </si>
  <si>
    <t>H121</t>
  </si>
  <si>
    <t>H220</t>
  </si>
  <si>
    <t>H120</t>
  </si>
  <si>
    <t>H219</t>
  </si>
  <si>
    <t>H119</t>
  </si>
  <si>
    <t>H218</t>
  </si>
  <si>
    <t>H118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</si>
  <si>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</si>
  <si>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</si>
  <si>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</si>
  <si>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</si>
  <si>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</si>
  <si>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</si>
  <si>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</si>
  <si>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</si>
  <si>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</si>
  <si>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</si>
  <si>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</si>
  <si>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</si>
  <si>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</si>
  <si>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</si>
  <si>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</si>
  <si>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</si>
  <si>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Key Events</t>
  </si>
  <si>
    <t>Chris Wootton</t>
  </si>
  <si>
    <t>Exec. Dir</t>
  </si>
  <si>
    <t>Michael Murray</t>
  </si>
  <si>
    <t>COO</t>
  </si>
  <si>
    <t>David Al-Mudallal</t>
  </si>
  <si>
    <t>Ratios &amp; Metrics</t>
  </si>
  <si>
    <t>Revenue</t>
  </si>
  <si>
    <t>Credit Account Interest</t>
  </si>
  <si>
    <t>Total Revenue</t>
  </si>
  <si>
    <t>COGS</t>
  </si>
  <si>
    <t>Impairment Losses on Credit</t>
  </si>
  <si>
    <t>Gross Profit</t>
  </si>
  <si>
    <t>Selling, Distribution &amp; Admin</t>
  </si>
  <si>
    <t>Other Operating Income</t>
  </si>
  <si>
    <t>Property Related Impairments</t>
  </si>
  <si>
    <t>Exceptional Items</t>
  </si>
  <si>
    <t>Profit on Sale of Property</t>
  </si>
  <si>
    <t>Operating Profit</t>
  </si>
  <si>
    <t>Investment Income</t>
  </si>
  <si>
    <t>Investment Costs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</si>
  <si>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</si>
  <si>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</si>
  <si>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</si>
  <si>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</si>
  <si>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</si>
  <si>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</si>
  <si>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</si>
  <si>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</si>
  <si>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</si>
  <si>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</si>
  <si>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</si>
  <si>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 xml:space="preserve">Taxes </t>
  </si>
  <si>
    <t>Balance Sheet</t>
  </si>
  <si>
    <t>H123</t>
  </si>
  <si>
    <t>H223</t>
  </si>
  <si>
    <t>-</t>
  </si>
  <si>
    <t>PP&amp;E</t>
  </si>
  <si>
    <t>Investment Properties</t>
  </si>
  <si>
    <t>Intangible Assets</t>
  </si>
  <si>
    <t>Long-Term Financial Assets</t>
  </si>
  <si>
    <t>Retirement Benefit Surplus</t>
  </si>
  <si>
    <t>Deferred Taxes</t>
  </si>
  <si>
    <t>Total NCA</t>
  </si>
  <si>
    <t>Inventories</t>
  </si>
  <si>
    <t>Trade &amp; A/R</t>
  </si>
  <si>
    <t>Derivative Financial Assets</t>
  </si>
  <si>
    <t>Assets</t>
  </si>
  <si>
    <t>Lease Liability</t>
  </si>
  <si>
    <t>Borrowings</t>
  </si>
  <si>
    <t>Retirement Benefit Obligations</t>
  </si>
  <si>
    <t>Provisions</t>
  </si>
  <si>
    <t>Total NCL</t>
  </si>
  <si>
    <t>Derivative Financial Liability</t>
  </si>
  <si>
    <t>Trade &amp; A/P</t>
  </si>
  <si>
    <t>Current Taxes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</si>
  <si>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</si>
  <si>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</si>
  <si>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</si>
  <si>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</si>
  <si>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</si>
  <si>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</si>
  <si>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</si>
  <si>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Inventory/Revenue</t>
  </si>
  <si>
    <t>P/S</t>
  </si>
  <si>
    <t>EV/S</t>
  </si>
  <si>
    <t>Held For Sale</t>
  </si>
  <si>
    <t>Share Price</t>
  </si>
  <si>
    <t>Share of Loss of Associated Undertakings</t>
  </si>
  <si>
    <t>Fair Value Gain on Acquisition</t>
  </si>
  <si>
    <t>FY17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</si>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</sst>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6" borderId="0" xfId="0" applyFont="1" applyFill="1"/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0" xfId="0" applyFont="1"/>
    <xf numFmtId="0" fontId="8" fillId="6" borderId="0" xfId="0" applyFont="1" applyFill="1"/>
    <xf numFmtId="0" fontId="8" fillId="0" borderId="0" xfId="0" applyFont="1" applyAlignment="1">
      <alignment horizontal="left" indent="1"/>
    </xf>
    <xf numFmtId="0" fontId="3" fillId="6" borderId="0" xfId="0" applyFont="1" applyFill="1"/>
    <xf numFmtId="0" fontId="9" fillId="0" borderId="0" xfId="0" applyFont="1"/>
    <xf numFmtId="164" fontId="8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4" fontId="7" fillId="0" borderId="0" xfId="0" applyNumberFormat="1" applyFont="1" applyAlignment="1">
      <alignment horizontal="right"/>
    </xf>
    <xf numFmtId="9" fontId="3" fillId="0" borderId="0" xfId="0" applyNumberFormat="1" applyFont="1"/>
    <xf numFmtId="0" fontId="1" fillId="6" borderId="0" xfId="0" applyFont="1" applyFill="1" applyAlignment="1">
      <alignment horizontal="right"/>
    </xf>
    <xf numFmtId="165" fontId="8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9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4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133350</xdr:rowOff>
    </xdr:from>
    <xdr:to>
      <xdr:col>5</xdr:col>
      <xdr:colOff>152400</xdr:colOff>
      <xdr:row>2</xdr:row>
      <xdr:rowOff>123825</xdr:rowOff>
    </xdr:to>
    <xdr:pic>
      <xdr:nvPicPr>
        <xdr:cNvPr id="2" name="Picture 1" descr="https://logo.clearbit.com/frasers.group">
          <a:extLst>
            <a:ext uri="{FF2B5EF4-FFF2-40B4-BE49-F238E27FC236}">
              <a16:creationId xmlns:a16="http://schemas.microsoft.com/office/drawing/2014/main" id="{3844F7DE-5665-4A5D-ACD1-08691C21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33350"/>
          <a:ext cx="1219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9525</xdr:rowOff>
    </xdr:from>
    <xdr:to>
      <xdr:col>21</xdr:col>
      <xdr:colOff>0</xdr:colOff>
      <xdr:row>93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6843C6-A5D8-4E77-8E34-072EFC67618A}"/>
            </a:ext>
          </a:extLst>
        </xdr:cNvPr>
        <xdr:cNvCxnSpPr/>
      </xdr:nvCxnSpPr>
      <xdr:spPr>
        <a:xfrm>
          <a:off x="13030200" y="9525"/>
          <a:ext cx="0" cy="13896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0</xdr:row>
      <xdr:rowOff>0</xdr:rowOff>
    </xdr:from>
    <xdr:to>
      <xdr:col>12</xdr:col>
      <xdr:colOff>19050</xdr:colOff>
      <xdr:row>94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DB36B2-C2FE-414D-8E8E-E421583C6446}"/>
            </a:ext>
          </a:extLst>
        </xdr:cNvPr>
        <xdr:cNvCxnSpPr/>
      </xdr:nvCxnSpPr>
      <xdr:spPr>
        <a:xfrm>
          <a:off x="8172450" y="0"/>
          <a:ext cx="0" cy="13992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rasers.grou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asers-cms.netlify.app/assets/files/financials/2020-annual-report.pdf" TargetMode="External"/><Relationship Id="rId1" Type="http://schemas.openxmlformats.org/officeDocument/2006/relationships/hyperlink" Target="https://frasers-cms.netlify.app/assets/files/financials/fg-annual-report-2022-web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D253-2028-433E-A998-19555E53110C}">
  <dimension ref="A2:AB41"/>
  <sheetViews>
    <sheetView tabSelected="1" workbookViewId="0">
      <selection activeCell="C38" sqref="C38:D38"/>
    </sheetView>
  </sheetViews>
  <sheetFormatPr baseColWidth="10" defaultColWidth="9.1640625" defaultRowHeight="13" x14ac:dyDescent="0.15"/>
  <cols>
    <col min="1" max="16384" width="9.1640625" style="1"/>
  </cols>
  <sheetData>
    <row r="2" spans="1:28" ht="15" x14ac:dyDescent="0.2">
      <c r="B2" s="2" t="s">
        <v>0</v>
      </c>
      <c r="F2"/>
    </row>
    <row r="3" spans="1:28" x14ac:dyDescent="0.15">
      <c r="B3" s="3" t="s">
        <v>18</v>
      </c>
    </row>
    <row r="5" spans="1:28" x14ac:dyDescent="0.15">
      <c r="B5" s="61" t="s">
        <v>1</v>
      </c>
      <c r="C5" s="62"/>
      <c r="D5" s="63"/>
      <c r="G5" s="61" t="s">
        <v>72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3"/>
      <c r="W5" s="61" t="s">
        <v>19</v>
      </c>
      <c r="X5" s="62"/>
      <c r="Y5" s="62"/>
      <c r="Z5" s="62"/>
      <c r="AA5" s="62"/>
      <c r="AB5" s="63"/>
    </row>
    <row r="6" spans="1:28" x14ac:dyDescent="0.15">
      <c r="B6" s="5" t="s">
        <v>2</v>
      </c>
      <c r="C6" s="4">
        <v>8.23</v>
      </c>
      <c r="D6" s="31"/>
      <c r="G6" s="2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W6" s="5" t="s">
        <v>20</v>
      </c>
      <c r="X6" s="13"/>
      <c r="Y6" s="13" t="s">
        <v>21</v>
      </c>
      <c r="Z6" s="13"/>
      <c r="AA6" s="13"/>
      <c r="AB6" s="14"/>
    </row>
    <row r="7" spans="1:28" x14ac:dyDescent="0.15">
      <c r="B7" s="5" t="s">
        <v>3</v>
      </c>
      <c r="C7" s="11">
        <f>'Financial Model'!U26</f>
        <v>471.97528199999999</v>
      </c>
      <c r="D7" s="31" t="s">
        <v>60</v>
      </c>
      <c r="G7" s="2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W7" s="68"/>
      <c r="X7" s="69"/>
      <c r="Y7" s="69"/>
      <c r="Z7" s="69"/>
      <c r="AA7" s="69"/>
      <c r="AB7" s="70"/>
    </row>
    <row r="8" spans="1:28" x14ac:dyDescent="0.15">
      <c r="B8" s="5" t="s">
        <v>4</v>
      </c>
      <c r="C8" s="11">
        <f>C6*C7</f>
        <v>3884.3565708599999</v>
      </c>
      <c r="D8" s="31"/>
      <c r="G8" s="2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W8" s="15" t="s">
        <v>22</v>
      </c>
      <c r="X8" s="16"/>
      <c r="Y8" s="16"/>
      <c r="Z8" s="16"/>
      <c r="AA8" s="16"/>
      <c r="AB8" s="17"/>
    </row>
    <row r="9" spans="1:28" x14ac:dyDescent="0.15">
      <c r="B9" s="5" t="s">
        <v>5</v>
      </c>
      <c r="C9" s="11">
        <f>'Financial Model'!U72</f>
        <v>659.9</v>
      </c>
      <c r="D9" s="31" t="s">
        <v>60</v>
      </c>
      <c r="G9" s="2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W9" s="15" t="s">
        <v>23</v>
      </c>
      <c r="X9" s="16"/>
      <c r="Y9" s="16"/>
      <c r="Z9" s="16"/>
      <c r="AA9" s="16"/>
      <c r="AB9" s="17"/>
    </row>
    <row r="10" spans="1:28" x14ac:dyDescent="0.15">
      <c r="B10" s="5" t="s">
        <v>6</v>
      </c>
      <c r="C10" s="11">
        <f>'Financial Model'!U73</f>
        <v>935.1</v>
      </c>
      <c r="D10" s="31" t="s">
        <v>60</v>
      </c>
      <c r="G10" s="2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W10" s="15" t="s">
        <v>25</v>
      </c>
      <c r="X10" s="16"/>
      <c r="Y10" s="16"/>
      <c r="Z10" s="16"/>
      <c r="AA10" s="16"/>
      <c r="AB10" s="17"/>
    </row>
    <row r="11" spans="1:28" x14ac:dyDescent="0.15">
      <c r="B11" s="5" t="s">
        <v>7</v>
      </c>
      <c r="C11" s="11">
        <f>C9-C10</f>
        <v>-275.20000000000005</v>
      </c>
      <c r="D11" s="31" t="s">
        <v>60</v>
      </c>
      <c r="G11" s="2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W11" s="15" t="s">
        <v>26</v>
      </c>
      <c r="X11" s="16"/>
      <c r="Y11" s="16"/>
      <c r="Z11" s="16"/>
      <c r="AA11" s="16"/>
      <c r="AB11" s="17"/>
    </row>
    <row r="12" spans="1:28" x14ac:dyDescent="0.15">
      <c r="B12" s="6" t="s">
        <v>8</v>
      </c>
      <c r="C12" s="12">
        <f>C8-C11</f>
        <v>4159.5565708599997</v>
      </c>
      <c r="D12" s="32"/>
      <c r="G12" s="2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W12" s="15" t="s">
        <v>27</v>
      </c>
      <c r="X12" s="16"/>
      <c r="Y12" s="16"/>
      <c r="Z12" s="16"/>
      <c r="AA12" s="16"/>
      <c r="AB12" s="17"/>
    </row>
    <row r="13" spans="1:28" x14ac:dyDescent="0.15">
      <c r="G13" s="2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W13" s="15" t="s">
        <v>28</v>
      </c>
      <c r="X13" s="16"/>
      <c r="Y13" s="16"/>
      <c r="Z13" s="16"/>
      <c r="AA13" s="16"/>
      <c r="AB13" s="17"/>
    </row>
    <row r="14" spans="1:28" x14ac:dyDescent="0.15">
      <c r="G14" s="2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W14" s="15" t="s">
        <v>29</v>
      </c>
      <c r="X14" s="16"/>
      <c r="Y14" s="16"/>
      <c r="Z14" s="16"/>
      <c r="AA14" s="16"/>
      <c r="AB14" s="17"/>
    </row>
    <row r="15" spans="1:28" x14ac:dyDescent="0.15">
      <c r="B15" s="61" t="s">
        <v>9</v>
      </c>
      <c r="C15" s="62"/>
      <c r="D15" s="63"/>
      <c r="G15" s="29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W15" s="15" t="s">
        <v>30</v>
      </c>
      <c r="X15" s="16"/>
      <c r="Y15" s="16"/>
      <c r="Z15" s="16"/>
      <c r="AA15" s="16"/>
      <c r="AB15" s="17"/>
    </row>
    <row r="16" spans="1:28" x14ac:dyDescent="0.15">
      <c r="A16" s="20" t="s">
        <v>33</v>
      </c>
      <c r="B16" s="7" t="s">
        <v>74</v>
      </c>
      <c r="C16" s="55" t="s">
        <v>32</v>
      </c>
      <c r="D16" s="56"/>
      <c r="G16" s="2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W16" s="15" t="s">
        <v>31</v>
      </c>
      <c r="X16" s="16"/>
      <c r="Y16" s="16"/>
      <c r="Z16" s="16"/>
      <c r="AA16" s="16"/>
      <c r="AB16" s="17"/>
    </row>
    <row r="17" spans="2:28" x14ac:dyDescent="0.15">
      <c r="B17" s="7" t="s">
        <v>11</v>
      </c>
      <c r="C17" s="55" t="s">
        <v>73</v>
      </c>
      <c r="D17" s="56"/>
      <c r="G17" s="2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W17" s="15"/>
      <c r="X17" s="16"/>
      <c r="Y17" s="16"/>
      <c r="Z17" s="16"/>
      <c r="AA17" s="16"/>
      <c r="AB17" s="17"/>
    </row>
    <row r="18" spans="2:28" x14ac:dyDescent="0.15">
      <c r="B18" s="7" t="s">
        <v>10</v>
      </c>
      <c r="C18" s="55" t="s">
        <v>75</v>
      </c>
      <c r="D18" s="56"/>
      <c r="G18" s="29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W18" s="15"/>
      <c r="X18" s="16"/>
      <c r="Y18" s="16"/>
      <c r="Z18" s="16"/>
      <c r="AA18" s="16"/>
      <c r="AB18" s="17"/>
    </row>
    <row r="19" spans="2:28" x14ac:dyDescent="0.15">
      <c r="B19" s="8" t="s">
        <v>76</v>
      </c>
      <c r="C19" s="57" t="s">
        <v>77</v>
      </c>
      <c r="D19" s="58"/>
      <c r="G19" s="2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W19" s="15"/>
      <c r="X19" s="16"/>
      <c r="Y19" s="16"/>
      <c r="Z19" s="16"/>
      <c r="AA19" s="16"/>
      <c r="AB19" s="17"/>
    </row>
    <row r="20" spans="2:28" x14ac:dyDescent="0.15">
      <c r="G20" s="29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W20" s="71" t="s">
        <v>45</v>
      </c>
      <c r="X20" s="72"/>
      <c r="Y20" s="72"/>
      <c r="Z20" s="72"/>
      <c r="AA20" s="72"/>
      <c r="AB20" s="73"/>
    </row>
    <row r="21" spans="2:28" x14ac:dyDescent="0.15">
      <c r="G21" s="29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W21" s="15" t="s">
        <v>35</v>
      </c>
      <c r="X21" s="16"/>
      <c r="Y21" s="16"/>
      <c r="Z21" s="16"/>
      <c r="AA21" s="16"/>
      <c r="AB21" s="17"/>
    </row>
    <row r="22" spans="2:28" x14ac:dyDescent="0.15">
      <c r="B22" s="61" t="s">
        <v>14</v>
      </c>
      <c r="C22" s="62"/>
      <c r="D22" s="63"/>
      <c r="G22" s="2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W22" s="15" t="s">
        <v>36</v>
      </c>
      <c r="X22" s="16"/>
      <c r="Y22" s="16"/>
      <c r="Z22" s="16"/>
      <c r="AA22" s="16"/>
      <c r="AB22" s="17"/>
    </row>
    <row r="23" spans="2:28" x14ac:dyDescent="0.15">
      <c r="B23" s="9" t="s">
        <v>12</v>
      </c>
      <c r="C23" s="55" t="s">
        <v>34</v>
      </c>
      <c r="D23" s="56"/>
      <c r="G23" s="2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W23" s="15" t="s">
        <v>37</v>
      </c>
      <c r="X23" s="16"/>
      <c r="Y23" s="16"/>
      <c r="Z23" s="16"/>
      <c r="AA23" s="16"/>
      <c r="AB23" s="17"/>
    </row>
    <row r="24" spans="2:28" x14ac:dyDescent="0.15">
      <c r="B24" s="9" t="s">
        <v>13</v>
      </c>
      <c r="C24" s="55">
        <v>1982</v>
      </c>
      <c r="D24" s="56"/>
      <c r="G24" s="2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  <c r="W24" s="15" t="s">
        <v>24</v>
      </c>
      <c r="X24" s="16"/>
      <c r="Y24" s="16"/>
      <c r="Z24" s="16"/>
      <c r="AA24" s="16"/>
      <c r="AB24" s="17"/>
    </row>
    <row r="25" spans="2:28" x14ac:dyDescent="0.15">
      <c r="B25" s="22"/>
      <c r="C25" s="55"/>
      <c r="D25" s="56"/>
      <c r="G25" s="29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W25" s="15"/>
      <c r="X25" s="16"/>
      <c r="Y25" s="16"/>
      <c r="Z25" s="16"/>
      <c r="AA25" s="16"/>
      <c r="AB25" s="17"/>
    </row>
    <row r="26" spans="2:28" x14ac:dyDescent="0.15">
      <c r="B26" s="9" t="s">
        <v>14</v>
      </c>
      <c r="C26" s="55"/>
      <c r="D26" s="56"/>
      <c r="G26" s="2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W26" s="15"/>
      <c r="X26" s="16"/>
      <c r="Y26" s="16"/>
      <c r="Z26" s="16"/>
      <c r="AA26" s="16"/>
      <c r="AB26" s="17"/>
    </row>
    <row r="27" spans="2:28" x14ac:dyDescent="0.15">
      <c r="B27" s="9" t="s">
        <v>15</v>
      </c>
      <c r="C27" s="64">
        <f>'Financial Model'!U46</f>
        <v>1277.5999999999999</v>
      </c>
      <c r="D27" s="65"/>
      <c r="G27" s="29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spans="2:28" x14ac:dyDescent="0.15">
      <c r="B28" s="9"/>
      <c r="C28" s="55"/>
      <c r="D28" s="56"/>
      <c r="G28" s="2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</row>
    <row r="29" spans="2:28" x14ac:dyDescent="0.15">
      <c r="B29" s="9" t="s">
        <v>16</v>
      </c>
      <c r="C29" s="21" t="s">
        <v>60</v>
      </c>
      <c r="D29" s="53">
        <v>44765</v>
      </c>
      <c r="G29" s="2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</row>
    <row r="30" spans="2:28" x14ac:dyDescent="0.15">
      <c r="B30" s="10" t="s">
        <v>17</v>
      </c>
      <c r="C30" s="66" t="s">
        <v>38</v>
      </c>
      <c r="D30" s="67"/>
      <c r="G30" s="2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</row>
    <row r="31" spans="2:28" x14ac:dyDescent="0.15">
      <c r="G31" s="2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</row>
    <row r="32" spans="2:28" x14ac:dyDescent="0.15">
      <c r="G32" s="2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/>
    </row>
    <row r="33" spans="2:20" x14ac:dyDescent="0.15">
      <c r="B33" s="61" t="s">
        <v>78</v>
      </c>
      <c r="C33" s="62"/>
      <c r="D33" s="63"/>
      <c r="G33" s="2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/>
    </row>
    <row r="34" spans="2:20" x14ac:dyDescent="0.15">
      <c r="B34" s="9" t="s">
        <v>136</v>
      </c>
      <c r="C34" s="59">
        <f>C8/'Financial Model'!U6</f>
        <v>0.8083484009031694</v>
      </c>
      <c r="D34" s="60"/>
      <c r="G34" s="29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</row>
    <row r="35" spans="2:20" x14ac:dyDescent="0.15">
      <c r="B35" s="9" t="s">
        <v>40</v>
      </c>
      <c r="C35" s="59">
        <f>C6/'Financial Model'!U25</f>
        <v>15.120111213935388</v>
      </c>
      <c r="D35" s="60"/>
      <c r="G35" s="29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</row>
    <row r="36" spans="2:20" x14ac:dyDescent="0.15">
      <c r="B36" s="9" t="s">
        <v>137</v>
      </c>
      <c r="C36" s="59">
        <f>C12/'Financial Model'!U6</f>
        <v>0.8656184985037354</v>
      </c>
      <c r="D36" s="60"/>
      <c r="G36" s="3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2:20" x14ac:dyDescent="0.15">
      <c r="B37" s="9" t="s">
        <v>41</v>
      </c>
      <c r="C37" s="59">
        <f>C6/'Financial Model'!U70</f>
        <v>2.9683299486932606</v>
      </c>
      <c r="D37" s="60"/>
    </row>
    <row r="38" spans="2:20" x14ac:dyDescent="0.15">
      <c r="B38" s="9" t="s">
        <v>143</v>
      </c>
      <c r="C38" s="74">
        <f>'Financial Model'!U89</f>
        <v>0.25248357022772422</v>
      </c>
      <c r="D38" s="56"/>
    </row>
    <row r="39" spans="2:20" x14ac:dyDescent="0.15">
      <c r="B39" s="9" t="s">
        <v>42</v>
      </c>
      <c r="C39" s="55"/>
      <c r="D39" s="56"/>
    </row>
    <row r="40" spans="2:20" x14ac:dyDescent="0.15">
      <c r="B40" s="9" t="s">
        <v>43</v>
      </c>
      <c r="C40" s="55"/>
      <c r="D40" s="56"/>
    </row>
    <row r="41" spans="2:20" x14ac:dyDescent="0.15">
      <c r="B41" s="10" t="s">
        <v>44</v>
      </c>
      <c r="C41" s="57"/>
      <c r="D41" s="58"/>
    </row>
  </sheetData>
  <mergeCells count="27">
    <mergeCell ref="W5:AB5"/>
    <mergeCell ref="W7:AB7"/>
    <mergeCell ref="C23:D23"/>
    <mergeCell ref="C26:D26"/>
    <mergeCell ref="C24:D24"/>
    <mergeCell ref="W20:AB20"/>
    <mergeCell ref="B5:D5"/>
    <mergeCell ref="B15:D15"/>
    <mergeCell ref="B22:D22"/>
    <mergeCell ref="G5:T5"/>
    <mergeCell ref="B33:D33"/>
    <mergeCell ref="C16:D16"/>
    <mergeCell ref="C17:D17"/>
    <mergeCell ref="C18:D18"/>
    <mergeCell ref="C19:D19"/>
    <mergeCell ref="C27:D27"/>
    <mergeCell ref="C28:D28"/>
    <mergeCell ref="C30:D30"/>
    <mergeCell ref="C25:D25"/>
    <mergeCell ref="C39:D39"/>
    <mergeCell ref="C40:D40"/>
    <mergeCell ref="C41:D41"/>
    <mergeCell ref="C34:D34"/>
    <mergeCell ref="C35:D35"/>
    <mergeCell ref="C36:D36"/>
    <mergeCell ref="C37:D37"/>
    <mergeCell ref="C38:D38"/>
  </mergeCells>
  <hyperlinks>
    <hyperlink ref="C30:D30" r:id="rId1" display="Link" xr:uid="{424553EF-2E25-459C-8DED-FBECC4AAF05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6F4-C59C-4E99-A8FF-A75A76B71134}">
  <dimension ref="A1:AF89"/>
  <sheetViews>
    <sheetView workbookViewId="0">
      <pane xSplit="2" ySplit="3" topLeftCell="C41" activePane="bottomRight" state="frozen"/>
      <selection pane="topRight" activeCell="C1" sqref="C1"/>
      <selection pane="bottomLeft" activeCell="A4" sqref="A4"/>
      <selection pane="bottomRight" activeCell="A89" sqref="A89"/>
    </sheetView>
  </sheetViews>
  <sheetFormatPr baseColWidth="10" defaultColWidth="9.1640625" defaultRowHeight="13" x14ac:dyDescent="0.15"/>
  <cols>
    <col min="1" max="1" width="6" style="1" bestFit="1" customWidth="1"/>
    <col min="2" max="2" width="36.5" style="1" bestFit="1" customWidth="1"/>
    <col min="3" max="3" width="5.33203125" style="1" bestFit="1" customWidth="1"/>
    <col min="4" max="4" width="9.1640625" style="28"/>
    <col min="5" max="5" width="9.1640625" style="1"/>
    <col min="6" max="6" width="9.1640625" style="28"/>
    <col min="7" max="7" width="9.1640625" style="1"/>
    <col min="8" max="8" width="9.1640625" style="28"/>
    <col min="9" max="9" width="9.1640625" style="1"/>
    <col min="10" max="10" width="9.1640625" style="28"/>
    <col min="11" max="11" width="9.1640625" style="1"/>
    <col min="12" max="12" width="9.1640625" style="28"/>
    <col min="13" max="13" width="9.1640625" style="1"/>
    <col min="14" max="14" width="9.1640625" style="28"/>
    <col min="15" max="16384" width="9.1640625" style="1"/>
  </cols>
  <sheetData>
    <row r="1" spans="2:32" s="23" customFormat="1" x14ac:dyDescent="0.15">
      <c r="C1" s="23" t="s">
        <v>55</v>
      </c>
      <c r="D1" s="26" t="s">
        <v>54</v>
      </c>
      <c r="E1" s="23" t="s">
        <v>53</v>
      </c>
      <c r="F1" s="26" t="s">
        <v>52</v>
      </c>
      <c r="G1" s="23" t="s">
        <v>51</v>
      </c>
      <c r="H1" s="26" t="s">
        <v>50</v>
      </c>
      <c r="I1" s="23" t="s">
        <v>49</v>
      </c>
      <c r="J1" s="26" t="s">
        <v>48</v>
      </c>
      <c r="K1" s="23" t="s">
        <v>46</v>
      </c>
      <c r="L1" s="26" t="s">
        <v>47</v>
      </c>
      <c r="M1" s="23" t="s">
        <v>106</v>
      </c>
      <c r="N1" s="26" t="s">
        <v>107</v>
      </c>
      <c r="P1" s="23" t="s">
        <v>142</v>
      </c>
      <c r="Q1" s="23" t="s">
        <v>56</v>
      </c>
      <c r="R1" s="23" t="s">
        <v>57</v>
      </c>
      <c r="S1" s="33" t="s">
        <v>58</v>
      </c>
      <c r="T1" s="23" t="s">
        <v>59</v>
      </c>
      <c r="U1" s="33" t="s">
        <v>60</v>
      </c>
      <c r="V1" s="23" t="s">
        <v>61</v>
      </c>
      <c r="W1" s="23" t="s">
        <v>62</v>
      </c>
      <c r="X1" s="23" t="s">
        <v>63</v>
      </c>
      <c r="Y1" s="23" t="s">
        <v>64</v>
      </c>
      <c r="Z1" s="23" t="s">
        <v>65</v>
      </c>
      <c r="AA1" s="23" t="s">
        <v>66</v>
      </c>
      <c r="AB1" s="23" t="s">
        <v>67</v>
      </c>
      <c r="AC1" s="23" t="s">
        <v>68</v>
      </c>
      <c r="AD1" s="23" t="s">
        <v>69</v>
      </c>
      <c r="AE1" s="23" t="s">
        <v>70</v>
      </c>
      <c r="AF1" s="23" t="s">
        <v>71</v>
      </c>
    </row>
    <row r="2" spans="2:32" s="25" customFormat="1" x14ac:dyDescent="0.15">
      <c r="B2" s="24"/>
      <c r="D2" s="27"/>
      <c r="F2" s="27"/>
      <c r="H2" s="27"/>
      <c r="J2" s="27"/>
      <c r="L2" s="27"/>
      <c r="N2" s="27"/>
      <c r="R2" s="43">
        <v>43583</v>
      </c>
      <c r="S2" s="43">
        <v>43947</v>
      </c>
      <c r="T2" s="43">
        <v>44311</v>
      </c>
      <c r="U2" s="43">
        <v>44675</v>
      </c>
    </row>
    <row r="3" spans="2:32" s="25" customFormat="1" x14ac:dyDescent="0.15">
      <c r="B3" s="24"/>
      <c r="D3" s="27"/>
      <c r="F3" s="27"/>
      <c r="H3" s="27"/>
      <c r="J3" s="27"/>
      <c r="L3" s="27"/>
      <c r="N3" s="27"/>
      <c r="U3" s="54">
        <v>44765</v>
      </c>
    </row>
    <row r="4" spans="2:32" s="34" customFormat="1" x14ac:dyDescent="0.15">
      <c r="B4" s="36" t="s">
        <v>79</v>
      </c>
      <c r="D4" s="35"/>
      <c r="F4" s="35"/>
      <c r="H4" s="35"/>
      <c r="J4" s="35"/>
      <c r="L4" s="35"/>
      <c r="N4" s="35"/>
      <c r="R4" s="39">
        <v>3701.9</v>
      </c>
      <c r="S4" s="39">
        <v>3957.4</v>
      </c>
      <c r="T4" s="34">
        <v>3625.3</v>
      </c>
      <c r="U4" s="39">
        <v>4787.1000000000004</v>
      </c>
    </row>
    <row r="5" spans="2:32" s="34" customFormat="1" x14ac:dyDescent="0.15">
      <c r="B5" s="36" t="s">
        <v>80</v>
      </c>
      <c r="D5" s="35"/>
      <c r="F5" s="35"/>
      <c r="H5" s="35"/>
      <c r="J5" s="35"/>
      <c r="L5" s="35"/>
      <c r="N5" s="35"/>
      <c r="R5" s="39">
        <v>0</v>
      </c>
      <c r="S5" s="39">
        <v>0</v>
      </c>
      <c r="T5" s="46">
        <v>0</v>
      </c>
      <c r="U5" s="39">
        <v>18.2</v>
      </c>
    </row>
    <row r="6" spans="2:32" s="3" customFormat="1" x14ac:dyDescent="0.15">
      <c r="B6" s="3" t="s">
        <v>81</v>
      </c>
      <c r="D6" s="37"/>
      <c r="F6" s="37"/>
      <c r="H6" s="37"/>
      <c r="J6" s="37"/>
      <c r="L6" s="37"/>
      <c r="N6" s="37"/>
      <c r="R6" s="40">
        <f t="shared" ref="R6:S6" si="0">R4+R5</f>
        <v>3701.9</v>
      </c>
      <c r="S6" s="40">
        <f t="shared" si="0"/>
        <v>3957.4</v>
      </c>
      <c r="T6" s="40">
        <f>T4+T5</f>
        <v>3625.3</v>
      </c>
      <c r="U6" s="40">
        <f>U4+U5</f>
        <v>4805.3</v>
      </c>
    </row>
    <row r="7" spans="2:32" x14ac:dyDescent="0.15">
      <c r="B7" s="1" t="s">
        <v>82</v>
      </c>
      <c r="R7" s="41">
        <v>2118.4</v>
      </c>
      <c r="S7" s="41">
        <v>2294.8000000000002</v>
      </c>
      <c r="T7" s="1">
        <v>2094.5</v>
      </c>
      <c r="U7" s="41">
        <v>2703.3</v>
      </c>
    </row>
    <row r="8" spans="2:32" x14ac:dyDescent="0.15">
      <c r="B8" s="1" t="s">
        <v>83</v>
      </c>
      <c r="R8" s="41">
        <v>0</v>
      </c>
      <c r="S8" s="41">
        <v>0</v>
      </c>
      <c r="T8" s="47">
        <v>0</v>
      </c>
      <c r="U8" s="41">
        <v>13.3</v>
      </c>
    </row>
    <row r="9" spans="2:32" s="3" customFormat="1" x14ac:dyDescent="0.15">
      <c r="B9" s="3" t="s">
        <v>84</v>
      </c>
      <c r="D9" s="37"/>
      <c r="F9" s="37"/>
      <c r="H9" s="37"/>
      <c r="J9" s="37"/>
      <c r="L9" s="37"/>
      <c r="N9" s="37"/>
      <c r="R9" s="40">
        <f t="shared" ref="R9:S9" si="1">R6-R7-R8</f>
        <v>1583.5</v>
      </c>
      <c r="S9" s="40">
        <f t="shared" si="1"/>
        <v>1662.6</v>
      </c>
      <c r="T9" s="40">
        <f>T6-T7-T8</f>
        <v>1530.8000000000002</v>
      </c>
      <c r="U9" s="40">
        <f>U6-U7-U8</f>
        <v>2088.6999999999998</v>
      </c>
    </row>
    <row r="10" spans="2:32" x14ac:dyDescent="0.15">
      <c r="B10" s="1" t="s">
        <v>85</v>
      </c>
      <c r="R10" s="41">
        <v>1413.8</v>
      </c>
      <c r="S10" s="41">
        <v>1564.3</v>
      </c>
      <c r="T10" s="41">
        <v>1319</v>
      </c>
      <c r="U10" s="41">
        <v>1588.8</v>
      </c>
    </row>
    <row r="11" spans="2:32" x14ac:dyDescent="0.15">
      <c r="B11" s="1" t="s">
        <v>86</v>
      </c>
      <c r="R11" s="41">
        <v>23.4</v>
      </c>
      <c r="S11" s="41">
        <v>32.5</v>
      </c>
      <c r="T11" s="41">
        <v>36.799999999999997</v>
      </c>
      <c r="U11" s="41">
        <v>48</v>
      </c>
    </row>
    <row r="12" spans="2:32" x14ac:dyDescent="0.15">
      <c r="B12" s="1" t="s">
        <v>87</v>
      </c>
      <c r="R12" s="41">
        <v>0</v>
      </c>
      <c r="S12" s="41">
        <v>0</v>
      </c>
      <c r="T12" s="41">
        <v>317</v>
      </c>
      <c r="U12" s="41">
        <v>227</v>
      </c>
    </row>
    <row r="13" spans="2:32" x14ac:dyDescent="0.15">
      <c r="B13" s="1" t="s">
        <v>88</v>
      </c>
      <c r="R13" s="41">
        <v>41</v>
      </c>
      <c r="S13" s="41">
        <v>13.1</v>
      </c>
      <c r="T13" s="41">
        <v>1.6</v>
      </c>
      <c r="U13" s="41">
        <v>1.3</v>
      </c>
    </row>
    <row r="14" spans="2:32" x14ac:dyDescent="0.15">
      <c r="B14" s="1" t="s">
        <v>89</v>
      </c>
      <c r="R14" s="41">
        <v>8.4</v>
      </c>
      <c r="S14" s="41">
        <v>54.2</v>
      </c>
      <c r="T14" s="41">
        <v>9.6999999999999993</v>
      </c>
      <c r="U14" s="41">
        <v>10.8</v>
      </c>
    </row>
    <row r="15" spans="2:32" s="3" customFormat="1" x14ac:dyDescent="0.15">
      <c r="B15" s="3" t="s">
        <v>90</v>
      </c>
      <c r="D15" s="37"/>
      <c r="F15" s="37"/>
      <c r="H15" s="37"/>
      <c r="J15" s="37"/>
      <c r="L15" s="37"/>
      <c r="N15" s="37"/>
      <c r="R15" s="40">
        <f>R9-R10+R11-R12-R13+R14</f>
        <v>160.50000000000006</v>
      </c>
      <c r="S15" s="40">
        <f>S9-S10+S11-S12-S13+S14</f>
        <v>171.89999999999998</v>
      </c>
      <c r="T15" s="40">
        <f>T9-T10+T11-T12-T13+T14</f>
        <v>-60.299999999999798</v>
      </c>
      <c r="U15" s="40">
        <f>U9-U10+U11-U12-U13+U14</f>
        <v>330.39999999999986</v>
      </c>
    </row>
    <row r="16" spans="2:32" x14ac:dyDescent="0.15">
      <c r="B16" s="1" t="s">
        <v>91</v>
      </c>
      <c r="R16" s="41">
        <v>15</v>
      </c>
      <c r="S16" s="41">
        <v>15.2</v>
      </c>
      <c r="T16" s="41">
        <v>103.7</v>
      </c>
      <c r="U16" s="41">
        <v>43.8</v>
      </c>
    </row>
    <row r="17" spans="2:21" x14ac:dyDescent="0.15">
      <c r="B17" s="1" t="s">
        <v>92</v>
      </c>
      <c r="R17" s="41">
        <v>8.3000000000000007</v>
      </c>
      <c r="S17" s="41">
        <v>49.8</v>
      </c>
      <c r="T17" s="41">
        <v>7.7</v>
      </c>
      <c r="U17" s="41">
        <v>19.7</v>
      </c>
    </row>
    <row r="18" spans="2:21" x14ac:dyDescent="0.15">
      <c r="B18" s="1" t="s">
        <v>93</v>
      </c>
      <c r="R18" s="41">
        <v>40</v>
      </c>
      <c r="S18" s="41">
        <v>31</v>
      </c>
      <c r="T18" s="41">
        <v>9</v>
      </c>
      <c r="U18" s="41">
        <v>30.3</v>
      </c>
    </row>
    <row r="19" spans="2:21" x14ac:dyDescent="0.15">
      <c r="B19" s="1" t="s">
        <v>94</v>
      </c>
      <c r="R19" s="41">
        <v>19.399999999999999</v>
      </c>
      <c r="S19" s="41">
        <v>29.3</v>
      </c>
      <c r="T19" s="41">
        <v>36.200000000000003</v>
      </c>
      <c r="U19" s="41">
        <v>49.2</v>
      </c>
    </row>
    <row r="20" spans="2:21" x14ac:dyDescent="0.15">
      <c r="B20" s="1" t="s">
        <v>140</v>
      </c>
      <c r="R20" s="41">
        <v>8.6</v>
      </c>
      <c r="S20" s="41">
        <v>15.9</v>
      </c>
      <c r="T20" s="41">
        <v>0</v>
      </c>
      <c r="U20" s="41">
        <v>0</v>
      </c>
    </row>
    <row r="21" spans="2:21" x14ac:dyDescent="0.15">
      <c r="B21" s="1" t="s">
        <v>141</v>
      </c>
      <c r="R21" s="41">
        <v>0</v>
      </c>
      <c r="S21" s="41">
        <v>20.399999999999999</v>
      </c>
      <c r="T21" s="41">
        <v>0</v>
      </c>
      <c r="U21" s="41">
        <v>0</v>
      </c>
    </row>
    <row r="22" spans="2:21" x14ac:dyDescent="0.15">
      <c r="B22" s="1" t="s">
        <v>95</v>
      </c>
      <c r="R22" s="41">
        <f>R15+R16-R17+R18-R19-R20+R21</f>
        <v>179.20000000000005</v>
      </c>
      <c r="S22" s="41">
        <f t="shared" ref="S22:U22" si="2">S15+S16-S17+S18-S19-S20+S21</f>
        <v>143.49999999999994</v>
      </c>
      <c r="T22" s="41">
        <f t="shared" si="2"/>
        <v>8.500000000000199</v>
      </c>
      <c r="U22" s="41">
        <f t="shared" si="2"/>
        <v>335.59999999999991</v>
      </c>
    </row>
    <row r="23" spans="2:21" x14ac:dyDescent="0.15">
      <c r="B23" s="1" t="s">
        <v>96</v>
      </c>
      <c r="R23" s="1">
        <v>63.2</v>
      </c>
      <c r="S23" s="1">
        <v>42.5</v>
      </c>
      <c r="T23" s="1">
        <v>86.5</v>
      </c>
      <c r="U23" s="41">
        <v>78.7</v>
      </c>
    </row>
    <row r="24" spans="2:21" s="3" customFormat="1" x14ac:dyDescent="0.15">
      <c r="B24" s="3" t="s">
        <v>97</v>
      </c>
      <c r="D24" s="37"/>
      <c r="F24" s="37"/>
      <c r="H24" s="37"/>
      <c r="J24" s="37"/>
      <c r="L24" s="37"/>
      <c r="N24" s="37"/>
      <c r="R24" s="40">
        <f t="shared" ref="R24:S24" si="3">R22-R23</f>
        <v>116.00000000000004</v>
      </c>
      <c r="S24" s="40">
        <f t="shared" si="3"/>
        <v>100.99999999999994</v>
      </c>
      <c r="T24" s="40">
        <f>T22-T23</f>
        <v>-77.999999999999801</v>
      </c>
      <c r="U24" s="40">
        <f>U22-U23</f>
        <v>256.89999999999992</v>
      </c>
    </row>
    <row r="25" spans="2:21" x14ac:dyDescent="0.15">
      <c r="B25" s="1" t="s">
        <v>98</v>
      </c>
      <c r="R25" s="48">
        <f t="shared" ref="R25:S25" si="4">R24/R26</f>
        <v>0.22330523722238971</v>
      </c>
      <c r="S25" s="48">
        <f t="shared" si="4"/>
        <v>0.19967305415495001</v>
      </c>
      <c r="T25" s="48">
        <f>T24/T26</f>
        <v>-0.15539232866443295</v>
      </c>
      <c r="U25" s="48">
        <f>U24/U26</f>
        <v>0.54430816569754159</v>
      </c>
    </row>
    <row r="26" spans="2:21" x14ac:dyDescent="0.15">
      <c r="B26" s="1" t="s">
        <v>3</v>
      </c>
      <c r="R26" s="41">
        <v>519.46833600000002</v>
      </c>
      <c r="S26" s="41">
        <v>505.82688999999999</v>
      </c>
      <c r="T26" s="41">
        <v>501.95528100000001</v>
      </c>
      <c r="U26" s="41">
        <v>471.97528199999999</v>
      </c>
    </row>
    <row r="28" spans="2:21" s="3" customFormat="1" x14ac:dyDescent="0.15">
      <c r="B28" s="3" t="s">
        <v>99</v>
      </c>
      <c r="C28" s="20" t="s">
        <v>108</v>
      </c>
      <c r="D28" s="26" t="s">
        <v>108</v>
      </c>
      <c r="F28" s="37"/>
      <c r="H28" s="37"/>
      <c r="J28" s="37"/>
      <c r="L28" s="37"/>
      <c r="N28" s="37"/>
      <c r="R28" s="20"/>
      <c r="S28" s="44">
        <f t="shared" ref="S28:T28" si="5">S6/R6-1</f>
        <v>6.9018612064075224E-2</v>
      </c>
      <c r="T28" s="44">
        <f t="shared" si="5"/>
        <v>-8.3918734522666405E-2</v>
      </c>
      <c r="U28" s="44">
        <f>U6/T6-1</f>
        <v>0.3254903042506827</v>
      </c>
    </row>
    <row r="29" spans="2:21" x14ac:dyDescent="0.15">
      <c r="B29" s="1" t="s">
        <v>100</v>
      </c>
      <c r="C29" s="20" t="s">
        <v>108</v>
      </c>
      <c r="D29" s="45"/>
      <c r="Q29" s="20" t="s">
        <v>108</v>
      </c>
      <c r="R29" s="20" t="s">
        <v>108</v>
      </c>
      <c r="S29" s="20" t="s">
        <v>108</v>
      </c>
      <c r="T29" s="20" t="s">
        <v>108</v>
      </c>
      <c r="U29" s="20" t="s">
        <v>108</v>
      </c>
    </row>
    <row r="31" spans="2:21" x14ac:dyDescent="0.15">
      <c r="B31" s="1" t="s">
        <v>101</v>
      </c>
      <c r="R31" s="42">
        <f t="shared" ref="R31:S31" si="6">R9/R6</f>
        <v>0.42775331586482618</v>
      </c>
      <c r="S31" s="42">
        <f t="shared" si="6"/>
        <v>0.42012432405114464</v>
      </c>
      <c r="T31" s="42">
        <f>T9/T6</f>
        <v>0.42225470995503822</v>
      </c>
      <c r="U31" s="42">
        <f>U9/U6</f>
        <v>0.43466588974673792</v>
      </c>
    </row>
    <row r="32" spans="2:21" x14ac:dyDescent="0.15">
      <c r="B32" s="1" t="s">
        <v>102</v>
      </c>
      <c r="R32" s="42">
        <f t="shared" ref="R32:S32" si="7">R15/R6</f>
        <v>4.3356114427726314E-2</v>
      </c>
      <c r="S32" s="42">
        <f t="shared" si="7"/>
        <v>4.343761055238287E-2</v>
      </c>
      <c r="T32" s="42">
        <f>T15/T6</f>
        <v>-1.6633106225691609E-2</v>
      </c>
      <c r="U32" s="42">
        <f>U15/U6</f>
        <v>6.8757413689051639E-2</v>
      </c>
    </row>
    <row r="33" spans="2:21" x14ac:dyDescent="0.15">
      <c r="B33" s="1" t="s">
        <v>103</v>
      </c>
      <c r="R33" s="42">
        <f t="shared" ref="R33:S33" si="8">R24/R6</f>
        <v>3.1335260271752353E-2</v>
      </c>
      <c r="S33" s="42">
        <f t="shared" si="8"/>
        <v>2.552180724718248E-2</v>
      </c>
      <c r="T33" s="42">
        <f>T24/T6</f>
        <v>-2.1515460789451851E-2</v>
      </c>
      <c r="U33" s="42">
        <f>U24/U6</f>
        <v>5.3461802592970245E-2</v>
      </c>
    </row>
    <row r="34" spans="2:21" x14ac:dyDescent="0.15">
      <c r="B34" s="1" t="s">
        <v>104</v>
      </c>
      <c r="R34" s="42">
        <f t="shared" ref="R34:S34" si="9">R23/R22</f>
        <v>0.35267857142857134</v>
      </c>
      <c r="S34" s="42">
        <f t="shared" si="9"/>
        <v>0.2961672473867597</v>
      </c>
      <c r="T34" s="42">
        <f>T23/T22</f>
        <v>10.176470588235055</v>
      </c>
      <c r="U34" s="42">
        <f>U23/U22</f>
        <v>0.2345053635280096</v>
      </c>
    </row>
    <row r="38" spans="2:21" x14ac:dyDescent="0.15">
      <c r="B38" s="38" t="s">
        <v>105</v>
      </c>
    </row>
    <row r="39" spans="2:21" x14ac:dyDescent="0.15">
      <c r="B39" s="1" t="s">
        <v>109</v>
      </c>
      <c r="R39" s="41">
        <v>823.2</v>
      </c>
      <c r="S39" s="41">
        <v>1347.6</v>
      </c>
      <c r="T39" s="41">
        <v>1164.9000000000001</v>
      </c>
      <c r="U39" s="41">
        <v>1011</v>
      </c>
    </row>
    <row r="40" spans="2:21" x14ac:dyDescent="0.15">
      <c r="B40" s="1" t="s">
        <v>110</v>
      </c>
      <c r="R40" s="41">
        <v>22.2</v>
      </c>
      <c r="S40" s="41">
        <v>18.899999999999999</v>
      </c>
      <c r="T40" s="41">
        <v>14.1</v>
      </c>
      <c r="U40" s="41">
        <v>89.2</v>
      </c>
    </row>
    <row r="41" spans="2:21" x14ac:dyDescent="0.15">
      <c r="B41" s="1" t="s">
        <v>111</v>
      </c>
      <c r="R41" s="41">
        <v>153</v>
      </c>
      <c r="S41" s="41">
        <v>143.4</v>
      </c>
      <c r="T41" s="41">
        <v>120.5</v>
      </c>
      <c r="U41" s="41">
        <v>120.6</v>
      </c>
    </row>
    <row r="42" spans="2:21" s="3" customFormat="1" x14ac:dyDescent="0.15">
      <c r="B42" s="3" t="s">
        <v>112</v>
      </c>
      <c r="D42" s="37"/>
      <c r="F42" s="37"/>
      <c r="H42" s="37"/>
      <c r="J42" s="37"/>
      <c r="L42" s="37"/>
      <c r="N42" s="37"/>
      <c r="R42" s="40">
        <v>11</v>
      </c>
      <c r="S42" s="40">
        <v>0</v>
      </c>
      <c r="T42" s="40">
        <v>263.3</v>
      </c>
      <c r="U42" s="40">
        <v>206.6</v>
      </c>
    </row>
    <row r="43" spans="2:21" x14ac:dyDescent="0.15">
      <c r="B43" s="1" t="s">
        <v>113</v>
      </c>
      <c r="R43" s="41">
        <v>84.6</v>
      </c>
      <c r="S43" s="41">
        <v>83.8</v>
      </c>
      <c r="T43" s="41">
        <v>0</v>
      </c>
      <c r="U43" s="41">
        <v>2.2000000000000002</v>
      </c>
    </row>
    <row r="44" spans="2:21" x14ac:dyDescent="0.15">
      <c r="B44" s="1" t="s">
        <v>114</v>
      </c>
      <c r="R44" s="41">
        <v>23.7</v>
      </c>
      <c r="S44" s="41">
        <v>49.9</v>
      </c>
      <c r="T44" s="41">
        <v>66.8</v>
      </c>
      <c r="U44" s="41">
        <v>100.8</v>
      </c>
    </row>
    <row r="45" spans="2:21" x14ac:dyDescent="0.15">
      <c r="B45" s="1" t="s">
        <v>115</v>
      </c>
      <c r="R45" s="41">
        <f>SUM(R39:R44)</f>
        <v>1117.7</v>
      </c>
      <c r="S45" s="41">
        <f>SUM(S39:S44)</f>
        <v>1643.6000000000001</v>
      </c>
      <c r="T45" s="41">
        <f>SUM(T39:T44)</f>
        <v>1629.6</v>
      </c>
      <c r="U45" s="41">
        <f>SUM(U39:U44)</f>
        <v>1530.3999999999999</v>
      </c>
    </row>
    <row r="46" spans="2:21" s="3" customFormat="1" x14ac:dyDescent="0.15">
      <c r="B46" s="3" t="s">
        <v>116</v>
      </c>
      <c r="D46" s="37"/>
      <c r="F46" s="37"/>
      <c r="H46" s="37"/>
      <c r="J46" s="37"/>
      <c r="L46" s="37"/>
      <c r="N46" s="37"/>
      <c r="R46" s="40">
        <v>978.4</v>
      </c>
      <c r="S46" s="40">
        <v>1198.3</v>
      </c>
      <c r="T46" s="40">
        <v>1096.5999999999999</v>
      </c>
      <c r="U46" s="40">
        <v>1277.5999999999999</v>
      </c>
    </row>
    <row r="47" spans="2:21" x14ac:dyDescent="0.15">
      <c r="B47" s="1" t="s">
        <v>117</v>
      </c>
      <c r="R47" s="41">
        <v>432.5</v>
      </c>
      <c r="S47" s="41">
        <v>414.2</v>
      </c>
      <c r="T47" s="41">
        <v>546.5</v>
      </c>
      <c r="U47" s="41">
        <v>841.4</v>
      </c>
    </row>
    <row r="48" spans="2:21" s="3" customFormat="1" x14ac:dyDescent="0.15">
      <c r="B48" s="3" t="s">
        <v>118</v>
      </c>
      <c r="D48" s="37"/>
      <c r="F48" s="37"/>
      <c r="H48" s="37"/>
      <c r="J48" s="37"/>
      <c r="L48" s="37"/>
      <c r="N48" s="37"/>
      <c r="R48" s="40">
        <v>104.2</v>
      </c>
      <c r="S48" s="40">
        <v>78.099999999999994</v>
      </c>
      <c r="T48" s="40">
        <v>55.4</v>
      </c>
      <c r="U48" s="40">
        <v>116.5</v>
      </c>
    </row>
    <row r="49" spans="2:21" s="3" customFormat="1" x14ac:dyDescent="0.15">
      <c r="B49" s="3" t="s">
        <v>5</v>
      </c>
      <c r="D49" s="37"/>
      <c r="F49" s="37"/>
      <c r="H49" s="37"/>
      <c r="J49" s="37"/>
      <c r="L49" s="37"/>
      <c r="N49" s="37"/>
      <c r="R49" s="40">
        <v>448</v>
      </c>
      <c r="S49" s="40">
        <v>534</v>
      </c>
      <c r="T49" s="40">
        <v>457</v>
      </c>
      <c r="U49" s="40">
        <v>336.8</v>
      </c>
    </row>
    <row r="50" spans="2:21" x14ac:dyDescent="0.15">
      <c r="B50" s="1" t="s">
        <v>138</v>
      </c>
      <c r="R50" s="41">
        <v>68</v>
      </c>
      <c r="S50" s="41">
        <v>0</v>
      </c>
      <c r="T50" s="41">
        <v>0</v>
      </c>
      <c r="U50" s="41">
        <v>40</v>
      </c>
    </row>
    <row r="51" spans="2:21" x14ac:dyDescent="0.15">
      <c r="B51" s="1" t="s">
        <v>119</v>
      </c>
      <c r="R51" s="41">
        <f t="shared" ref="R51:S51" si="10">R45+SUM(R46:R50)</f>
        <v>3148.8</v>
      </c>
      <c r="S51" s="41">
        <f t="shared" si="10"/>
        <v>3868.2</v>
      </c>
      <c r="T51" s="41">
        <f>T45+SUM(T46:T50)</f>
        <v>3785.1</v>
      </c>
      <c r="U51" s="41">
        <f>U45+SUM(U46:U50)</f>
        <v>4142.7</v>
      </c>
    </row>
    <row r="52" spans="2:21" x14ac:dyDescent="0.15">
      <c r="U52" s="41"/>
    </row>
    <row r="53" spans="2:21" x14ac:dyDescent="0.15">
      <c r="B53" s="1" t="s">
        <v>120</v>
      </c>
      <c r="R53" s="41">
        <v>0</v>
      </c>
      <c r="S53" s="41">
        <v>476.2</v>
      </c>
      <c r="T53" s="1">
        <v>534.20000000000005</v>
      </c>
      <c r="U53" s="41">
        <v>503.6</v>
      </c>
    </row>
    <row r="54" spans="2:21" s="3" customFormat="1" x14ac:dyDescent="0.15">
      <c r="B54" s="3" t="s">
        <v>121</v>
      </c>
      <c r="D54" s="37"/>
      <c r="F54" s="37"/>
      <c r="H54" s="37"/>
      <c r="J54" s="37"/>
      <c r="L54" s="37"/>
      <c r="N54" s="37"/>
      <c r="R54" s="40">
        <v>826.5</v>
      </c>
      <c r="S54" s="40">
        <v>900</v>
      </c>
      <c r="T54" s="3">
        <v>705.9</v>
      </c>
      <c r="U54" s="40">
        <v>827.9</v>
      </c>
    </row>
    <row r="55" spans="2:21" x14ac:dyDescent="0.15">
      <c r="B55" s="1" t="s">
        <v>122</v>
      </c>
      <c r="R55" s="41">
        <v>1.9</v>
      </c>
      <c r="S55" s="41">
        <v>1.9</v>
      </c>
      <c r="T55" s="1">
        <v>1.9</v>
      </c>
      <c r="U55" s="41">
        <v>1.6</v>
      </c>
    </row>
    <row r="56" spans="2:21" x14ac:dyDescent="0.15">
      <c r="B56" s="1" t="s">
        <v>114</v>
      </c>
      <c r="R56" s="41">
        <v>29</v>
      </c>
      <c r="S56" s="41">
        <v>25.6</v>
      </c>
      <c r="T56" s="1">
        <v>27</v>
      </c>
      <c r="U56" s="41">
        <v>40.4</v>
      </c>
    </row>
    <row r="57" spans="2:21" x14ac:dyDescent="0.15">
      <c r="B57" s="1" t="s">
        <v>123</v>
      </c>
      <c r="R57" s="41">
        <v>440.5</v>
      </c>
      <c r="S57" s="41">
        <v>336</v>
      </c>
      <c r="T57" s="1">
        <v>361.2</v>
      </c>
      <c r="U57" s="41">
        <v>433</v>
      </c>
    </row>
    <row r="58" spans="2:21" x14ac:dyDescent="0.15">
      <c r="B58" s="1" t="s">
        <v>124</v>
      </c>
      <c r="R58" s="41">
        <f>SUM(R53:R57)</f>
        <v>1297.9000000000001</v>
      </c>
      <c r="S58" s="41">
        <f>SUM(S53:S57)</f>
        <v>1739.7</v>
      </c>
      <c r="T58" s="41">
        <f>SUM(T53:T57)</f>
        <v>1630.2</v>
      </c>
      <c r="U58" s="41">
        <f>SUM(U53:U57)</f>
        <v>1806.5</v>
      </c>
    </row>
    <row r="59" spans="2:21" s="3" customFormat="1" x14ac:dyDescent="0.15">
      <c r="B59" s="3" t="s">
        <v>125</v>
      </c>
      <c r="D59" s="37"/>
      <c r="F59" s="37"/>
      <c r="H59" s="37"/>
      <c r="J59" s="37"/>
      <c r="L59" s="37"/>
      <c r="N59" s="37"/>
      <c r="R59" s="40">
        <v>16.3</v>
      </c>
      <c r="S59" s="40">
        <v>44.2</v>
      </c>
      <c r="T59" s="3">
        <v>19.2</v>
      </c>
      <c r="U59" s="40">
        <v>107.2</v>
      </c>
    </row>
    <row r="60" spans="2:21" x14ac:dyDescent="0.15">
      <c r="B60" s="1" t="s">
        <v>126</v>
      </c>
      <c r="R60" s="41">
        <v>541.1</v>
      </c>
      <c r="S60" s="41">
        <v>602.5</v>
      </c>
      <c r="T60" s="1">
        <v>646.29999999999995</v>
      </c>
      <c r="U60" s="41">
        <v>729.8</v>
      </c>
    </row>
    <row r="61" spans="2:21" x14ac:dyDescent="0.15">
      <c r="B61" s="1" t="s">
        <v>120</v>
      </c>
      <c r="R61" s="41">
        <v>0</v>
      </c>
      <c r="S61" s="41">
        <v>147.9</v>
      </c>
      <c r="T61" s="1">
        <v>188.5</v>
      </c>
      <c r="U61" s="41">
        <v>117</v>
      </c>
    </row>
    <row r="62" spans="2:21" x14ac:dyDescent="0.15">
      <c r="B62" s="1" t="s">
        <v>127</v>
      </c>
      <c r="R62" s="41">
        <v>41.1</v>
      </c>
      <c r="S62" s="41">
        <v>53.6</v>
      </c>
      <c r="T62" s="1">
        <v>89.9</v>
      </c>
      <c r="U62" s="41">
        <v>50.9</v>
      </c>
    </row>
    <row r="63" spans="2:21" x14ac:dyDescent="0.15">
      <c r="B63" s="1" t="s">
        <v>138</v>
      </c>
      <c r="R63" s="41">
        <v>0</v>
      </c>
      <c r="S63" s="41">
        <v>0</v>
      </c>
      <c r="T63" s="1">
        <v>0</v>
      </c>
      <c r="U63" s="41">
        <v>22.7</v>
      </c>
    </row>
    <row r="64" spans="2:21" x14ac:dyDescent="0.15">
      <c r="B64" s="1" t="s">
        <v>128</v>
      </c>
      <c r="R64" s="41">
        <f t="shared" ref="R64:S64" si="11">R58+SUM(R59:R63)</f>
        <v>1896.4</v>
      </c>
      <c r="S64" s="41">
        <f t="shared" si="11"/>
        <v>2587.9</v>
      </c>
      <c r="T64" s="41">
        <f>T58+SUM(T59:T63)</f>
        <v>2574.1</v>
      </c>
      <c r="U64" s="41">
        <f>U58+SUM(U59:U63)</f>
        <v>2834.1</v>
      </c>
    </row>
    <row r="66" spans="1:21" x14ac:dyDescent="0.15">
      <c r="B66" s="1" t="s">
        <v>129</v>
      </c>
      <c r="R66" s="41">
        <v>1252.4000000000001</v>
      </c>
      <c r="S66" s="41">
        <v>1280.3</v>
      </c>
      <c r="T66" s="41">
        <v>1211</v>
      </c>
      <c r="U66" s="41">
        <v>1308.5999999999999</v>
      </c>
    </row>
    <row r="67" spans="1:21" x14ac:dyDescent="0.15">
      <c r="B67" s="1" t="s">
        <v>130</v>
      </c>
      <c r="R67" s="41">
        <f t="shared" ref="R67:S67" si="12">R66+R64</f>
        <v>3148.8</v>
      </c>
      <c r="S67" s="41">
        <f t="shared" si="12"/>
        <v>3868.2</v>
      </c>
      <c r="T67" s="41">
        <f>T66+T64</f>
        <v>3785.1</v>
      </c>
      <c r="U67" s="41">
        <f>U66+U64</f>
        <v>4142.7</v>
      </c>
    </row>
    <row r="69" spans="1:21" x14ac:dyDescent="0.15">
      <c r="B69" s="1" t="s">
        <v>131</v>
      </c>
      <c r="R69" s="41">
        <f t="shared" ref="R69:S69" si="13">R51-R64</f>
        <v>1252.4000000000001</v>
      </c>
      <c r="S69" s="41">
        <f t="shared" si="13"/>
        <v>1280.2999999999997</v>
      </c>
      <c r="T69" s="41">
        <f t="shared" ref="T69" si="14">T51-T64</f>
        <v>1211</v>
      </c>
      <c r="U69" s="41">
        <f>U51-U64</f>
        <v>1308.5999999999999</v>
      </c>
    </row>
    <row r="70" spans="1:21" x14ac:dyDescent="0.15">
      <c r="B70" s="1" t="s">
        <v>132</v>
      </c>
      <c r="R70" s="1">
        <f t="shared" ref="R70" si="15">R69/R26</f>
        <v>2.4109265439424203</v>
      </c>
      <c r="S70" s="1">
        <f t="shared" ref="S70" si="16">S69/S26</f>
        <v>2.5311030815305209</v>
      </c>
      <c r="T70" s="1">
        <f t="shared" ref="T70" si="17">T69/T26</f>
        <v>2.4125655129824204</v>
      </c>
      <c r="U70" s="1">
        <f>U69/U26</f>
        <v>2.772602824569105</v>
      </c>
    </row>
    <row r="72" spans="1:21" s="34" customFormat="1" x14ac:dyDescent="0.15">
      <c r="B72" s="34" t="s">
        <v>5</v>
      </c>
      <c r="D72" s="35"/>
      <c r="F72" s="35"/>
      <c r="H72" s="35"/>
      <c r="J72" s="35"/>
      <c r="L72" s="35"/>
      <c r="N72" s="35"/>
      <c r="R72" s="34">
        <f t="shared" ref="R72:S72" si="18">R48+R49+R42</f>
        <v>563.20000000000005</v>
      </c>
      <c r="S72" s="34">
        <f t="shared" si="18"/>
        <v>612.1</v>
      </c>
      <c r="T72" s="34">
        <f t="shared" ref="T72" si="19">T48+T49+T42</f>
        <v>775.7</v>
      </c>
      <c r="U72" s="34">
        <f>U48+U49+U42</f>
        <v>659.9</v>
      </c>
    </row>
    <row r="73" spans="1:21" s="34" customFormat="1" x14ac:dyDescent="0.15">
      <c r="B73" s="34" t="s">
        <v>6</v>
      </c>
      <c r="D73" s="35"/>
      <c r="F73" s="35"/>
      <c r="H73" s="35"/>
      <c r="J73" s="35"/>
      <c r="L73" s="35"/>
      <c r="N73" s="35"/>
      <c r="R73" s="34">
        <f t="shared" ref="R73:S73" si="20">R54+R59</f>
        <v>842.8</v>
      </c>
      <c r="S73" s="34">
        <f t="shared" si="20"/>
        <v>944.2</v>
      </c>
      <c r="T73" s="34">
        <f t="shared" ref="T73" si="21">T54+T59</f>
        <v>725.1</v>
      </c>
      <c r="U73" s="34">
        <f>U54+U59</f>
        <v>935.1</v>
      </c>
    </row>
    <row r="74" spans="1:21" x14ac:dyDescent="0.15">
      <c r="B74" s="1" t="s">
        <v>7</v>
      </c>
      <c r="R74" s="1">
        <f t="shared" ref="R74" si="22">R72-R73</f>
        <v>-279.59999999999991</v>
      </c>
      <c r="S74" s="1">
        <f t="shared" ref="S74" si="23">S72-S73</f>
        <v>-332.1</v>
      </c>
      <c r="T74" s="1">
        <f t="shared" ref="T74" si="24">T72-T73</f>
        <v>50.600000000000023</v>
      </c>
      <c r="U74" s="1">
        <f>U72-U73</f>
        <v>-275.20000000000005</v>
      </c>
    </row>
    <row r="76" spans="1:21" s="3" customFormat="1" x14ac:dyDescent="0.15">
      <c r="B76" s="3" t="s">
        <v>133</v>
      </c>
      <c r="D76" s="37"/>
      <c r="F76" s="37"/>
      <c r="H76" s="37"/>
      <c r="J76" s="37"/>
      <c r="L76" s="37"/>
      <c r="N76" s="37"/>
      <c r="S76" s="44">
        <f t="shared" ref="S76:T76" si="25">S46/R46-1</f>
        <v>0.2247547015535567</v>
      </c>
      <c r="T76" s="44">
        <f t="shared" si="25"/>
        <v>-8.4870232829842296E-2</v>
      </c>
      <c r="U76" s="44">
        <f>U46/T46-1</f>
        <v>0.16505562648185301</v>
      </c>
    </row>
    <row r="77" spans="1:21" x14ac:dyDescent="0.15">
      <c r="B77" s="1" t="s">
        <v>134</v>
      </c>
      <c r="R77" s="20" t="s">
        <v>108</v>
      </c>
      <c r="S77" s="20" t="s">
        <v>108</v>
      </c>
      <c r="T77" s="20" t="s">
        <v>108</v>
      </c>
      <c r="U77" s="20" t="s">
        <v>108</v>
      </c>
    </row>
    <row r="78" spans="1:21" x14ac:dyDescent="0.15">
      <c r="A78" s="50">
        <f>AVERAGE(R78:U78)</f>
        <v>0.28386373514389107</v>
      </c>
      <c r="B78" s="1" t="s">
        <v>135</v>
      </c>
      <c r="R78" s="42">
        <f t="shared" ref="R78:T78" si="26">R46/R6</f>
        <v>0.26429671249898701</v>
      </c>
      <c r="S78" s="42">
        <f t="shared" si="26"/>
        <v>0.30279981806236417</v>
      </c>
      <c r="T78" s="42">
        <f t="shared" si="26"/>
        <v>0.30248531156042252</v>
      </c>
      <c r="U78" s="42">
        <f>U46/U6</f>
        <v>0.26587309845379059</v>
      </c>
    </row>
    <row r="80" spans="1:21" x14ac:dyDescent="0.15">
      <c r="B80" s="1" t="s">
        <v>139</v>
      </c>
      <c r="R80" s="52">
        <v>2.9780000000000002</v>
      </c>
      <c r="S80" s="52">
        <v>2.6</v>
      </c>
      <c r="T80" s="52">
        <v>5.1550000000000002</v>
      </c>
      <c r="U80" s="1">
        <v>6.79</v>
      </c>
    </row>
    <row r="81" spans="1:21" x14ac:dyDescent="0.15">
      <c r="B81" s="1" t="s">
        <v>4</v>
      </c>
      <c r="R81" s="41">
        <f t="shared" ref="R81:T81" si="27">R80*R26</f>
        <v>1546.9767046080001</v>
      </c>
      <c r="S81" s="41">
        <f t="shared" si="27"/>
        <v>1315.1499140000001</v>
      </c>
      <c r="T81" s="41">
        <f t="shared" si="27"/>
        <v>2587.5794735550003</v>
      </c>
      <c r="U81" s="41">
        <f>U80*U26</f>
        <v>3204.71216478</v>
      </c>
    </row>
    <row r="82" spans="1:21" x14ac:dyDescent="0.15">
      <c r="B82" s="1" t="s">
        <v>8</v>
      </c>
      <c r="R82" s="41">
        <f t="shared" ref="R82:T82" si="28">R81-R74</f>
        <v>1826.576704608</v>
      </c>
      <c r="S82" s="41">
        <f t="shared" si="28"/>
        <v>1647.249914</v>
      </c>
      <c r="T82" s="41">
        <f t="shared" si="28"/>
        <v>2536.9794735550004</v>
      </c>
      <c r="U82" s="41">
        <f>U81-U74</f>
        <v>3479.9121647800002</v>
      </c>
    </row>
    <row r="84" spans="1:21" x14ac:dyDescent="0.15">
      <c r="A84" s="51">
        <f>AVERAGE(R84:U84)</f>
        <v>1.7120304481761268</v>
      </c>
      <c r="B84" s="1" t="s">
        <v>41</v>
      </c>
      <c r="R84" s="49">
        <f t="shared" ref="R84:T84" si="29">R80/R70</f>
        <v>1.2352097609453849</v>
      </c>
      <c r="S84" s="49">
        <f t="shared" si="29"/>
        <v>1.0272201155979068</v>
      </c>
      <c r="T84" s="49">
        <f t="shared" si="29"/>
        <v>2.136729540507845</v>
      </c>
      <c r="U84" s="49">
        <f>U80/U70</f>
        <v>2.4489623756533705</v>
      </c>
    </row>
    <row r="85" spans="1:21" x14ac:dyDescent="0.15">
      <c r="A85" s="51">
        <f>AVERAGE(R85:U85)</f>
        <v>0.53272048080151513</v>
      </c>
      <c r="B85" s="1" t="s">
        <v>136</v>
      </c>
      <c r="R85" s="49">
        <f t="shared" ref="R85:T85" si="30">R81/R6</f>
        <v>0.4178872213209433</v>
      </c>
      <c r="S85" s="49">
        <f t="shared" si="30"/>
        <v>0.33232675847778848</v>
      </c>
      <c r="T85" s="49">
        <f t="shared" si="30"/>
        <v>0.71375595772901557</v>
      </c>
      <c r="U85" s="49">
        <f>U81/U6</f>
        <v>0.66691198567831345</v>
      </c>
    </row>
    <row r="86" spans="1:21" x14ac:dyDescent="0.15">
      <c r="A86" s="51">
        <f>AVERAGE(R86:U86)</f>
        <v>0.58341051806433109</v>
      </c>
      <c r="B86" s="1" t="s">
        <v>137</v>
      </c>
      <c r="R86" s="49">
        <f t="shared" ref="R86:T86" si="31">R82/R6</f>
        <v>0.49341600383802908</v>
      </c>
      <c r="S86" s="49">
        <f t="shared" si="31"/>
        <v>0.41624549300045482</v>
      </c>
      <c r="T86" s="49">
        <f t="shared" si="31"/>
        <v>0.69979849213996093</v>
      </c>
      <c r="U86" s="49">
        <f>U82/U6</f>
        <v>0.72418208327887956</v>
      </c>
    </row>
    <row r="87" spans="1:21" x14ac:dyDescent="0.15">
      <c r="A87" s="51">
        <f>AVERAGE(R87:U87)</f>
        <v>12.943947800523622</v>
      </c>
      <c r="B87" s="1" t="s">
        <v>40</v>
      </c>
      <c r="R87" s="49">
        <f t="shared" ref="R87:S87" si="32">R80/R25</f>
        <v>13.336006074206892</v>
      </c>
      <c r="S87" s="49">
        <f t="shared" si="32"/>
        <v>13.02128627722773</v>
      </c>
      <c r="T87" s="49"/>
      <c r="U87" s="49">
        <f>U80/U25</f>
        <v>12.474551050136244</v>
      </c>
    </row>
    <row r="88" spans="1:21" x14ac:dyDescent="0.15">
      <c r="B88" s="1" t="s">
        <v>39</v>
      </c>
    </row>
    <row r="89" spans="1:21" x14ac:dyDescent="0.15">
      <c r="A89" s="50">
        <f>AVERAGE(R89:U89)</f>
        <v>0.11627734053941303</v>
      </c>
      <c r="B89" s="1" t="s">
        <v>143</v>
      </c>
      <c r="R89" s="42">
        <f t="shared" ref="R89:U89" si="33">R15/R69</f>
        <v>0.12815394442670078</v>
      </c>
      <c r="S89" s="42">
        <f t="shared" si="33"/>
        <v>0.13426540654534094</v>
      </c>
      <c r="T89" s="42">
        <f t="shared" si="33"/>
        <v>-4.9793559042113786E-2</v>
      </c>
      <c r="U89" s="42">
        <f>U15/U69</f>
        <v>0.25248357022772422</v>
      </c>
    </row>
  </sheetData>
  <hyperlinks>
    <hyperlink ref="U1" r:id="rId1" xr:uid="{CD21117C-C7AB-4203-96F8-244D1457B8B2}"/>
    <hyperlink ref="S1" r:id="rId2" xr:uid="{E5E543FA-C3BB-4452-BA10-40FDCD03DF26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2022-07-29T17:04:04Z</dcterms:created>
  <dcterms:modified xsi:type="dcterms:W3CDTF">2022-11-23T20:14:49Z</dcterms:modified>
</cp:coreProperties>
</file>