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D6A0DC2E-8DC8-0D41-BADA-A719DA048255}" xr6:coauthVersionLast="47" xr6:coauthVersionMax="47" xr10:uidLastSave="{00000000-0000-0000-0000-000000000000}"/>
  <bookViews>
    <workbookView xWindow="4800" yWindow="500" windowWidth="28800" windowHeight="18900" xr2:uid="{2B6D9BA9-D0EE-454E-AD66-78B4D681C2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K92" i="2"/>
  <c r="L92" i="2"/>
  <c r="S92" i="2"/>
  <c r="S70" i="2"/>
  <c r="S69" i="2"/>
  <c r="T92" i="2"/>
  <c r="K59" i="2"/>
  <c r="K66" i="2"/>
  <c r="K63" i="2"/>
  <c r="K62" i="2"/>
  <c r="K61" i="2"/>
  <c r="K60" i="2"/>
  <c r="K52" i="2"/>
  <c r="K57" i="2"/>
  <c r="K56" i="2"/>
  <c r="K55" i="2"/>
  <c r="K54" i="2"/>
  <c r="K53" i="2"/>
  <c r="K49" i="2"/>
  <c r="K77" i="2" s="1"/>
  <c r="K48" i="2"/>
  <c r="K47" i="2"/>
  <c r="K46" i="2"/>
  <c r="K45" i="2"/>
  <c r="K44" i="2"/>
  <c r="K73" i="2" s="1"/>
  <c r="K42" i="2"/>
  <c r="K41" i="2"/>
  <c r="K40" i="2"/>
  <c r="K39" i="2"/>
  <c r="K38" i="2"/>
  <c r="K37" i="2"/>
  <c r="K43" i="2" s="1"/>
  <c r="K50" i="2" s="1"/>
  <c r="K20" i="2"/>
  <c r="K17" i="2"/>
  <c r="K15" i="2"/>
  <c r="K14" i="2"/>
  <c r="K12" i="2"/>
  <c r="K11" i="2"/>
  <c r="K10" i="2"/>
  <c r="K9" i="2"/>
  <c r="K7" i="2"/>
  <c r="K6" i="2"/>
  <c r="K8" i="2" s="1"/>
  <c r="K78" i="2" l="1"/>
  <c r="K79" i="2" s="1"/>
  <c r="K27" i="2"/>
  <c r="K13" i="2"/>
  <c r="K23" i="2"/>
  <c r="L23" i="2"/>
  <c r="L73" i="2"/>
  <c r="K58" i="2"/>
  <c r="K64" i="2" s="1"/>
  <c r="K67" i="2" s="1"/>
  <c r="K2" i="2"/>
  <c r="I2" i="2"/>
  <c r="G2" i="2"/>
  <c r="E2" i="2"/>
  <c r="J78" i="2"/>
  <c r="J77" i="2"/>
  <c r="L72" i="2"/>
  <c r="J58" i="2"/>
  <c r="J64" i="2" s="1"/>
  <c r="J67" i="2" s="1"/>
  <c r="J43" i="2"/>
  <c r="J50" i="2" s="1"/>
  <c r="J69" i="2" s="1"/>
  <c r="J70" i="2" s="1"/>
  <c r="C26" i="1"/>
  <c r="J79" i="2" l="1"/>
  <c r="K16" i="2"/>
  <c r="K28" i="2"/>
  <c r="K69" i="2"/>
  <c r="K70" i="2" s="1"/>
  <c r="L22" i="2"/>
  <c r="J8" i="2"/>
  <c r="J27" i="2" s="1"/>
  <c r="T78" i="2"/>
  <c r="S78" i="2"/>
  <c r="T77" i="2"/>
  <c r="S77" i="2"/>
  <c r="L78" i="2"/>
  <c r="C10" i="1" s="1"/>
  <c r="L77" i="2"/>
  <c r="L75" i="2"/>
  <c r="L41" i="2"/>
  <c r="L58" i="2"/>
  <c r="L64" i="2" s="1"/>
  <c r="L67" i="2" s="1"/>
  <c r="L43" i="2"/>
  <c r="L50" i="2" s="1"/>
  <c r="S79" i="2" l="1"/>
  <c r="L69" i="2"/>
  <c r="L70" i="2" s="1"/>
  <c r="C36" i="1" s="1"/>
  <c r="J13" i="2"/>
  <c r="J28" i="2" s="1"/>
  <c r="L79" i="2"/>
  <c r="C9" i="1"/>
  <c r="T79" i="2"/>
  <c r="K30" i="2"/>
  <c r="K18" i="2"/>
  <c r="J16" i="2" l="1"/>
  <c r="J30" i="2" s="1"/>
  <c r="K19" i="2"/>
  <c r="K29" i="2"/>
  <c r="L8" i="2"/>
  <c r="L27" i="2" s="1"/>
  <c r="J18" i="2" l="1"/>
  <c r="J19" i="2" s="1"/>
  <c r="L13" i="2"/>
  <c r="S75" i="2"/>
  <c r="T75" i="2"/>
  <c r="J29" i="2" l="1"/>
  <c r="L16" i="2"/>
  <c r="L28" i="2"/>
  <c r="W41" i="1"/>
  <c r="W30" i="1"/>
  <c r="W42" i="1" l="1"/>
  <c r="L18" i="2"/>
  <c r="L30" i="2"/>
  <c r="T72" i="2"/>
  <c r="L25" i="2" l="1"/>
  <c r="L19" i="2"/>
  <c r="C34" i="1" s="1"/>
  <c r="L29" i="2"/>
  <c r="O8" i="2"/>
  <c r="O27" i="2" s="1"/>
  <c r="Q22" i="2"/>
  <c r="P8" i="2"/>
  <c r="P13" i="2" s="1"/>
  <c r="R22" i="2"/>
  <c r="Q8" i="2"/>
  <c r="Q13" i="2" s="1"/>
  <c r="Q16" i="2" s="1"/>
  <c r="S22" i="2"/>
  <c r="R8" i="2"/>
  <c r="R13" i="2" s="1"/>
  <c r="P27" i="2" l="1"/>
  <c r="Q27" i="2"/>
  <c r="P16" i="2"/>
  <c r="P28" i="2"/>
  <c r="R27" i="2"/>
  <c r="O13" i="2"/>
  <c r="Q18" i="2"/>
  <c r="Q30" i="2"/>
  <c r="R28" i="2"/>
  <c r="R16" i="2"/>
  <c r="Q28" i="2"/>
  <c r="S58" i="2"/>
  <c r="S64" i="2" s="1"/>
  <c r="S67" i="2" s="1"/>
  <c r="S43" i="2"/>
  <c r="S50" i="2" s="1"/>
  <c r="T58" i="2"/>
  <c r="T64" i="2" s="1"/>
  <c r="T67" i="2" s="1"/>
  <c r="T43" i="2"/>
  <c r="T50" i="2" s="1"/>
  <c r="T22" i="2"/>
  <c r="S8" i="2"/>
  <c r="S13" i="2" s="1"/>
  <c r="S16" i="2" s="1"/>
  <c r="S18" i="2" s="1"/>
  <c r="T69" i="2" l="1"/>
  <c r="T70" i="2" s="1"/>
  <c r="S19" i="2"/>
  <c r="C38" i="1" s="1"/>
  <c r="O28" i="2"/>
  <c r="O16" i="2"/>
  <c r="P18" i="2"/>
  <c r="P30" i="2"/>
  <c r="S27" i="2"/>
  <c r="S28" i="2"/>
  <c r="S29" i="2"/>
  <c r="S30" i="2"/>
  <c r="R18" i="2"/>
  <c r="R25" i="2" s="1"/>
  <c r="R30" i="2"/>
  <c r="Q19" i="2"/>
  <c r="Q29" i="2"/>
  <c r="S25" i="2" l="1"/>
  <c r="Q25" i="2"/>
  <c r="P19" i="2"/>
  <c r="P29" i="2"/>
  <c r="O30" i="2"/>
  <c r="O18" i="2"/>
  <c r="P25" i="2" s="1"/>
  <c r="R19" i="2"/>
  <c r="R29" i="2"/>
  <c r="T8" i="2"/>
  <c r="T13" i="2" s="1"/>
  <c r="T16" i="2" s="1"/>
  <c r="C8" i="1"/>
  <c r="C11" i="1"/>
  <c r="O29" i="2" l="1"/>
  <c r="O19" i="2"/>
  <c r="T30" i="2"/>
  <c r="T18" i="2"/>
  <c r="T27" i="2"/>
  <c r="T28" i="2"/>
  <c r="C12" i="1"/>
  <c r="C33" i="1" s="1"/>
  <c r="T25" i="2" l="1"/>
  <c r="T19" i="2"/>
  <c r="T29" i="2"/>
</calcChain>
</file>

<file path=xl/sharedStrings.xml><?xml version="1.0" encoding="utf-8"?>
<sst xmlns="http://schemas.openxmlformats.org/spreadsheetml/2006/main" count="192" uniqueCount="164">
  <si>
    <t>£JD.</t>
  </si>
  <si>
    <t>JD Sports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</si>
  <si>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</si>
  <si>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</si>
  <si>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</si>
  <si>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</si>
  <si>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</si>
  <si>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</si>
  <si>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</si>
  <si>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</si>
  <si>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</si>
  <si>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</si>
  <si>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</si>
  <si>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Chairman</t>
  </si>
  <si>
    <t>Andrew Higginson</t>
  </si>
  <si>
    <t>Ex-Morrisons Chairman</t>
  </si>
  <si>
    <t>Profile</t>
  </si>
  <si>
    <t>HQ</t>
  </si>
  <si>
    <t>Founded</t>
  </si>
  <si>
    <t>Stores</t>
  </si>
  <si>
    <t>IR</t>
  </si>
  <si>
    <t>Update</t>
  </si>
  <si>
    <t>Link</t>
  </si>
  <si>
    <t>Kath Smith</t>
  </si>
  <si>
    <t>Interim CEO</t>
  </si>
  <si>
    <t>Neil Greenhalgh</t>
  </si>
  <si>
    <t>Bury, UK</t>
  </si>
  <si>
    <t>FY22</t>
  </si>
  <si>
    <t>Revenue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</si>
  <si>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</si>
  <si>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</si>
  <si>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</si>
  <si>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</si>
  <si>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</si>
  <si>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</si>
  <si>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</si>
  <si>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</si>
  <si>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</si>
  <si>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</si>
  <si>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</si>
  <si>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</si>
  <si>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</si>
  <si>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</si>
  <si>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</si>
  <si>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</si>
  <si>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</si>
  <si>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</si>
  <si>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</si>
  <si>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</si>
  <si>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</si>
  <si>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</si>
  <si>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FY34</t>
  </si>
  <si>
    <t>FY33</t>
  </si>
  <si>
    <t>FY35</t>
  </si>
  <si>
    <t>COGS</t>
  </si>
  <si>
    <t>Gross Profit</t>
  </si>
  <si>
    <t>Selling &amp; Distribution</t>
  </si>
  <si>
    <t>Administrative - Normal</t>
  </si>
  <si>
    <t>Administrative - Exceptional</t>
  </si>
  <si>
    <t>Other Operating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</si>
  <si>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</si>
  <si>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</si>
  <si>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</si>
  <si>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</si>
  <si>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</si>
  <si>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</si>
  <si>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</si>
  <si>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</si>
  <si>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</si>
  <si>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</si>
  <si>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</si>
  <si>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</si>
  <si>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</si>
  <si>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Key Events</t>
  </si>
  <si>
    <t>Balance Sheet</t>
  </si>
  <si>
    <t>JD Sports announce corporate overhaul following departure of chair Peter Cowgill</t>
  </si>
  <si>
    <t>"Number of regulatory issues highlighted need for more board-level experience"</t>
  </si>
  <si>
    <t>JD Sports &amp; Footasylum fined £5m for sharing information after merger was blocked</t>
  </si>
  <si>
    <t>JD Sports liable for the bulk £4.68m</t>
  </si>
  <si>
    <t>CMA block merger with Foot Asylum which originally completed in 2019</t>
  </si>
  <si>
    <t>JD Sports under second probe for price-fixing of football shirts after the UK CMA</t>
  </si>
  <si>
    <t>uncovered collusion over the sale of Rangers FC's replica kits &amp; merch</t>
  </si>
  <si>
    <t>-</t>
  </si>
  <si>
    <t>Intangibles</t>
  </si>
  <si>
    <t>PP&amp;E</t>
  </si>
  <si>
    <t>ROU</t>
  </si>
  <si>
    <t>JV Investments</t>
  </si>
  <si>
    <t>Other Assets</t>
  </si>
  <si>
    <t>Deferred Taxes</t>
  </si>
  <si>
    <t>Total NCA</t>
  </si>
  <si>
    <t>Inventories</t>
  </si>
  <si>
    <t>Right of Return Assets</t>
  </si>
  <si>
    <t>Trade &amp; A/R</t>
  </si>
  <si>
    <t>Income Tax Receivables</t>
  </si>
  <si>
    <t>Assets Held-For-Sale</t>
  </si>
  <si>
    <t>Assets</t>
  </si>
  <si>
    <t>Loans &amp; Borrowings</t>
  </si>
  <si>
    <t>Lease Liabiltiies</t>
  </si>
  <si>
    <t>Trade &amp; A/P</t>
  </si>
  <si>
    <t>Liabilities for Assets Held-for-Sale</t>
  </si>
  <si>
    <t>Provisions</t>
  </si>
  <si>
    <t>Income Tax Liabilities</t>
  </si>
  <si>
    <t>TCL</t>
  </si>
  <si>
    <t>Other Payables</t>
  </si>
  <si>
    <t>Deferred Tax Liabilities</t>
  </si>
  <si>
    <t>Liabilities</t>
  </si>
  <si>
    <t>S/E</t>
  </si>
  <si>
    <t>S/E+L</t>
  </si>
  <si>
    <t>FY18</t>
  </si>
  <si>
    <t>FY17</t>
  </si>
  <si>
    <t>Net Income Y/Y</t>
  </si>
  <si>
    <t>Ratios</t>
  </si>
  <si>
    <t>EV/E</t>
  </si>
  <si>
    <t>P/E</t>
  </si>
  <si>
    <t>ROCE</t>
  </si>
  <si>
    <t>P/B</t>
  </si>
  <si>
    <t>P/E 21</t>
  </si>
  <si>
    <t>Book Value</t>
  </si>
  <si>
    <t>Book Value per Share</t>
  </si>
  <si>
    <t>Manchester</t>
  </si>
  <si>
    <t>Inv.</t>
  </si>
  <si>
    <t>Inventory Y/Y</t>
  </si>
  <si>
    <t>Non-Finance Metrics</t>
  </si>
  <si>
    <t>Brands, Products &amp; Stores</t>
  </si>
  <si>
    <t>JD Europe</t>
  </si>
  <si>
    <t>JD Asia Pacific</t>
  </si>
  <si>
    <t>JD US</t>
  </si>
  <si>
    <t>JD Canada</t>
  </si>
  <si>
    <t>Blacks</t>
  </si>
  <si>
    <t>Millets</t>
  </si>
  <si>
    <t>Ultimate Outdoors</t>
  </si>
  <si>
    <t>Tiso</t>
  </si>
  <si>
    <t>Go Outdoors</t>
  </si>
  <si>
    <t>Go Fishing</t>
  </si>
  <si>
    <t>Naylors</t>
  </si>
  <si>
    <t>Leisure Lakes</t>
  </si>
  <si>
    <t>Wheelbase</t>
  </si>
  <si>
    <t>Store</t>
  </si>
  <si>
    <t>JD UK/ROI</t>
  </si>
  <si>
    <t>Size?</t>
  </si>
  <si>
    <t>Sports Fashion</t>
  </si>
  <si>
    <t>Outdoor</t>
  </si>
  <si>
    <t>Other UK</t>
  </si>
  <si>
    <t>Other Europe</t>
  </si>
  <si>
    <t>Finish Line (own)</t>
  </si>
  <si>
    <t>Finish Line (Macy's)</t>
  </si>
  <si>
    <t>Livestock</t>
  </si>
  <si>
    <t>Shoe Palace</t>
  </si>
  <si>
    <t>DLTR Villa</t>
  </si>
  <si>
    <t>Other - Asia Pacific</t>
  </si>
  <si>
    <t>Sports Fashion Tot.</t>
  </si>
  <si>
    <t>Outdoor Tot.</t>
  </si>
  <si>
    <t>Total All Stores</t>
  </si>
  <si>
    <t>No. Stores 21</t>
  </si>
  <si>
    <t>JD Sports agree to sell off Footasylym to German asset management group (Aurelius)</t>
  </si>
  <si>
    <t>For £37.5mn</t>
  </si>
  <si>
    <t>Inventory/Revenue</t>
  </si>
  <si>
    <t>Inventory H/H</t>
  </si>
  <si>
    <t>Dividend (GBX)</t>
  </si>
  <si>
    <t>5:1 share split approved in Nov. 21</t>
  </si>
  <si>
    <t>JD Sports fined £1.5m for Rangers kit price fixing</t>
  </si>
  <si>
    <t>Share Price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</si>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</sst>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"/>
    <numFmt numFmtId="166" formatCode="0\x"/>
    <numFmt numFmtId="167" formatCode="0.0\x"/>
    <numFmt numFmtId="168" formatCode="#,##0.000"/>
    <numFmt numFmtId="169" formatCode="#,##0.0000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2" fillId="3" borderId="4" xfId="0" applyFont="1" applyFill="1" applyBorder="1"/>
    <xf numFmtId="164" fontId="1" fillId="0" borderId="0" xfId="0" applyNumberFormat="1" applyFont="1" applyBorder="1"/>
    <xf numFmtId="0" fontId="2" fillId="3" borderId="6" xfId="0" applyFont="1" applyFill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2" fontId="1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4" fontId="6" fillId="5" borderId="0" xfId="0" applyNumberFormat="1" applyFont="1" applyFill="1" applyAlignment="1">
      <alignment horizontal="right"/>
    </xf>
    <xf numFmtId="0" fontId="5" fillId="0" borderId="0" xfId="1" applyFont="1" applyAlignment="1">
      <alignment horizontal="right"/>
    </xf>
    <xf numFmtId="9" fontId="10" fillId="0" borderId="0" xfId="0" applyNumberFormat="1" applyFont="1"/>
    <xf numFmtId="0" fontId="11" fillId="0" borderId="0" xfId="0" applyFont="1" applyAlignment="1">
      <alignment horizontal="right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8" borderId="6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1" fillId="4" borderId="0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/>
    <xf numFmtId="16" fontId="1" fillId="4" borderId="5" xfId="0" applyNumberFormat="1" applyFont="1" applyFill="1" applyBorder="1" applyAlignment="1">
      <alignment horizontal="center"/>
    </xf>
    <xf numFmtId="15" fontId="6" fillId="0" borderId="0" xfId="0" quotePrefix="1" applyNumberFormat="1" applyFont="1" applyAlignment="1">
      <alignment horizontal="right"/>
    </xf>
    <xf numFmtId="2" fontId="1" fillId="5" borderId="0" xfId="0" applyNumberFormat="1" applyFont="1" applyFill="1"/>
    <xf numFmtId="170" fontId="1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169" fontId="1" fillId="5" borderId="0" xfId="0" applyNumberFormat="1" applyFont="1" applyFill="1"/>
    <xf numFmtId="9" fontId="1" fillId="5" borderId="0" xfId="0" applyNumberFormat="1" applyFont="1" applyFill="1"/>
    <xf numFmtId="164" fontId="9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47625</xdr:rowOff>
    </xdr:from>
    <xdr:to>
      <xdr:col>5</xdr:col>
      <xdr:colOff>57150</xdr:colOff>
      <xdr:row>3</xdr:row>
      <xdr:rowOff>114300</xdr:rowOff>
    </xdr:to>
    <xdr:pic>
      <xdr:nvPicPr>
        <xdr:cNvPr id="2" name="Picture 1" descr="JD Sports - Wikipedia">
          <a:extLst>
            <a:ext uri="{FF2B5EF4-FFF2-40B4-BE49-F238E27FC236}">
              <a16:creationId xmlns:a16="http://schemas.microsoft.com/office/drawing/2014/main" id="{08B234C3-5C63-46B9-BFD5-F57F8FCC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29</xdr:col>
      <xdr:colOff>76200</xdr:colOff>
      <xdr:row>10</xdr:row>
      <xdr:rowOff>14601</xdr:rowOff>
    </xdr:to>
    <xdr:pic>
      <xdr:nvPicPr>
        <xdr:cNvPr id="3" name="Picture 2" descr="Chat loading/not found">
          <a:extLst>
            <a:ext uri="{FF2B5EF4-FFF2-40B4-BE49-F238E27FC236}">
              <a16:creationId xmlns:a16="http://schemas.microsoft.com/office/drawing/2014/main" id="{4708F111-542D-4732-998E-AAD35E06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90500"/>
          <a:ext cx="5534025" cy="15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19050</xdr:rowOff>
    </xdr:from>
    <xdr:to>
      <xdr:col>20</xdr:col>
      <xdr:colOff>9525</xdr:colOff>
      <xdr:row>123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F8E4BE-41F7-4504-A0CC-BF5CB85BC8F2}"/>
            </a:ext>
          </a:extLst>
        </xdr:cNvPr>
        <xdr:cNvCxnSpPr/>
      </xdr:nvCxnSpPr>
      <xdr:spPr>
        <a:xfrm>
          <a:off x="15528925" y="19050"/>
          <a:ext cx="0" cy="20351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114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C52E4B7-A6B1-4934-8D14-8EF482ACCB20}"/>
            </a:ext>
          </a:extLst>
        </xdr:cNvPr>
        <xdr:cNvCxnSpPr/>
      </xdr:nvCxnSpPr>
      <xdr:spPr>
        <a:xfrm>
          <a:off x="9940925" y="0"/>
          <a:ext cx="0" cy="18973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d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dplc.com/sites/jd-sportsfashion-plc/files/2022-01/year-end-announcement-2018-vfinal.pdf" TargetMode="External"/><Relationship Id="rId2" Type="http://schemas.openxmlformats.org/officeDocument/2006/relationships/hyperlink" Target="https://www.jdplc.com/sites/jd-sportsfashion-plc/files/homepage/reports-and-presentation/2020/jd-group-annual-report-report-2020_0.pdf" TargetMode="External"/><Relationship Id="rId1" Type="http://schemas.openxmlformats.org/officeDocument/2006/relationships/hyperlink" Target="https://www.jdplc.com/sites/jd-sportsfashion-plc/files/2022-06/final-annual-report-2022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dplc.com/sites/jd-sportsfashion-plc/files/2022-09/interim-results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2AB4-9105-4D94-A3A3-86AFBD0C921C}">
  <dimension ref="B2:Z42"/>
  <sheetViews>
    <sheetView tabSelected="1" workbookViewId="0">
      <selection activeCell="C35" sqref="C35:D35"/>
    </sheetView>
  </sheetViews>
  <sheetFormatPr baseColWidth="10" defaultColWidth="9.1640625" defaultRowHeight="13" x14ac:dyDescent="0.15"/>
  <cols>
    <col min="1" max="16384" width="9.1640625" style="1"/>
  </cols>
  <sheetData>
    <row r="2" spans="2:26" ht="15" x14ac:dyDescent="0.2">
      <c r="B2" s="3" t="s">
        <v>0</v>
      </c>
      <c r="F2"/>
    </row>
    <row r="3" spans="2:26" x14ac:dyDescent="0.15">
      <c r="B3" s="2" t="s">
        <v>1</v>
      </c>
    </row>
    <row r="5" spans="2:26" ht="15" x14ac:dyDescent="0.2">
      <c r="B5" s="78" t="s">
        <v>2</v>
      </c>
      <c r="C5" s="79"/>
      <c r="D5" s="80"/>
      <c r="J5" s="78" t="s">
        <v>73</v>
      </c>
      <c r="K5" s="79"/>
      <c r="L5" s="79"/>
      <c r="M5" s="79"/>
      <c r="N5" s="79"/>
      <c r="O5" s="79"/>
      <c r="P5" s="79"/>
      <c r="Q5" s="79"/>
      <c r="R5" s="80"/>
      <c r="U5"/>
    </row>
    <row r="6" spans="2:26" x14ac:dyDescent="0.15">
      <c r="B6" s="5" t="s">
        <v>3</v>
      </c>
      <c r="C6" s="13">
        <v>1.196</v>
      </c>
      <c r="D6" s="30"/>
      <c r="J6" s="27">
        <v>44805</v>
      </c>
      <c r="K6" s="9" t="s">
        <v>160</v>
      </c>
      <c r="L6" s="9"/>
      <c r="M6" s="9"/>
      <c r="N6" s="9"/>
      <c r="O6" s="9"/>
      <c r="P6" s="9"/>
      <c r="Q6" s="9"/>
      <c r="R6" s="10"/>
    </row>
    <row r="7" spans="2:26" x14ac:dyDescent="0.15">
      <c r="B7" s="5" t="s">
        <v>4</v>
      </c>
      <c r="C7" s="6">
        <v>5160</v>
      </c>
      <c r="D7" s="30" t="s">
        <v>37</v>
      </c>
      <c r="J7" s="15"/>
      <c r="K7" s="9"/>
      <c r="L7" s="9"/>
      <c r="M7" s="9"/>
      <c r="N7" s="9"/>
      <c r="O7" s="9"/>
      <c r="P7" s="9"/>
      <c r="Q7" s="9"/>
      <c r="R7" s="10"/>
    </row>
    <row r="8" spans="2:26" x14ac:dyDescent="0.15">
      <c r="B8" s="5" t="s">
        <v>5</v>
      </c>
      <c r="C8" s="6">
        <f>C6*C7</f>
        <v>6171.36</v>
      </c>
      <c r="D8" s="30"/>
      <c r="J8" s="27">
        <v>44743</v>
      </c>
      <c r="K8" s="9" t="s">
        <v>154</v>
      </c>
      <c r="L8" s="9"/>
      <c r="M8" s="9"/>
      <c r="N8" s="9"/>
      <c r="O8" s="9"/>
      <c r="P8" s="9"/>
      <c r="Q8" s="9"/>
      <c r="R8" s="10"/>
    </row>
    <row r="9" spans="2:26" x14ac:dyDescent="0.15">
      <c r="B9" s="5" t="s">
        <v>6</v>
      </c>
      <c r="C9" s="6">
        <f>'Financial Model'!L77</f>
        <v>1137.9000000000001</v>
      </c>
      <c r="D9" s="30" t="s">
        <v>37</v>
      </c>
      <c r="J9" s="15"/>
      <c r="K9" s="28" t="s">
        <v>155</v>
      </c>
      <c r="L9" s="9"/>
      <c r="M9" s="9"/>
      <c r="N9" s="9"/>
      <c r="O9" s="9"/>
      <c r="P9" s="9"/>
      <c r="Q9" s="9"/>
      <c r="R9" s="10"/>
    </row>
    <row r="10" spans="2:26" x14ac:dyDescent="0.15">
      <c r="B10" s="5" t="s">
        <v>7</v>
      </c>
      <c r="C10" s="6">
        <f>'Financial Model'!L78</f>
        <v>124.8</v>
      </c>
      <c r="D10" s="30" t="s">
        <v>37</v>
      </c>
      <c r="J10" s="15"/>
      <c r="K10" s="9"/>
      <c r="L10" s="9"/>
      <c r="M10" s="9"/>
      <c r="N10" s="9"/>
      <c r="O10" s="9"/>
      <c r="P10" s="9"/>
      <c r="Q10" s="9"/>
      <c r="R10" s="10"/>
    </row>
    <row r="11" spans="2:26" x14ac:dyDescent="0.15">
      <c r="B11" s="5" t="s">
        <v>8</v>
      </c>
      <c r="C11" s="6">
        <f>C9-C10</f>
        <v>1013.1000000000001</v>
      </c>
      <c r="D11" s="30" t="s">
        <v>37</v>
      </c>
      <c r="J11" s="27">
        <v>44713</v>
      </c>
      <c r="K11" s="9" t="s">
        <v>75</v>
      </c>
      <c r="L11" s="9"/>
      <c r="M11" s="9"/>
      <c r="N11" s="9"/>
      <c r="O11" s="9"/>
      <c r="P11" s="9"/>
      <c r="Q11" s="9"/>
      <c r="R11" s="10"/>
    </row>
    <row r="12" spans="2:26" x14ac:dyDescent="0.15">
      <c r="B12" s="7" t="s">
        <v>9</v>
      </c>
      <c r="C12" s="8">
        <f>C8-C11</f>
        <v>5158.2599999999993</v>
      </c>
      <c r="D12" s="31"/>
      <c r="J12" s="15"/>
      <c r="K12" s="29" t="s">
        <v>76</v>
      </c>
      <c r="L12" s="9"/>
      <c r="M12" s="9"/>
      <c r="N12" s="9"/>
      <c r="O12" s="9"/>
      <c r="P12" s="9"/>
      <c r="Q12" s="9"/>
      <c r="R12" s="10"/>
    </row>
    <row r="13" spans="2:26" x14ac:dyDescent="0.15">
      <c r="J13" s="15"/>
      <c r="K13" s="9"/>
      <c r="L13" s="9"/>
      <c r="M13" s="9"/>
      <c r="N13" s="9"/>
      <c r="O13" s="9"/>
      <c r="P13" s="9"/>
      <c r="Q13" s="9"/>
      <c r="R13" s="10"/>
      <c r="U13" s="78" t="s">
        <v>123</v>
      </c>
      <c r="V13" s="79"/>
      <c r="W13" s="79"/>
      <c r="X13" s="79"/>
      <c r="Y13" s="79"/>
      <c r="Z13" s="80"/>
    </row>
    <row r="14" spans="2:26" x14ac:dyDescent="0.15">
      <c r="J14" s="27">
        <v>44713</v>
      </c>
      <c r="K14" s="9" t="s">
        <v>80</v>
      </c>
      <c r="L14" s="9"/>
      <c r="M14" s="9"/>
      <c r="N14" s="9"/>
      <c r="O14" s="9"/>
      <c r="P14" s="9"/>
      <c r="Q14" s="9"/>
      <c r="R14" s="10"/>
      <c r="U14" s="5" t="s">
        <v>137</v>
      </c>
      <c r="V14" s="46"/>
      <c r="W14" s="46" t="s">
        <v>153</v>
      </c>
      <c r="X14" s="46"/>
      <c r="Y14" s="46"/>
      <c r="Z14" s="47"/>
    </row>
    <row r="15" spans="2:26" x14ac:dyDescent="0.15">
      <c r="B15" s="78" t="s">
        <v>10</v>
      </c>
      <c r="C15" s="79"/>
      <c r="D15" s="80"/>
      <c r="J15" s="15"/>
      <c r="K15" s="28" t="s">
        <v>81</v>
      </c>
      <c r="L15" s="9"/>
      <c r="M15" s="9"/>
      <c r="N15" s="9"/>
      <c r="O15" s="9"/>
      <c r="P15" s="9"/>
      <c r="Q15" s="9"/>
      <c r="R15" s="10"/>
      <c r="U15" s="81" t="s">
        <v>140</v>
      </c>
      <c r="V15" s="82"/>
      <c r="W15" s="82"/>
      <c r="X15" s="82"/>
      <c r="Y15" s="82"/>
      <c r="Z15" s="83"/>
    </row>
    <row r="16" spans="2:26" x14ac:dyDescent="0.15">
      <c r="B16" s="12" t="s">
        <v>11</v>
      </c>
      <c r="C16" s="94" t="s">
        <v>23</v>
      </c>
      <c r="D16" s="95"/>
      <c r="E16" s="1" t="s">
        <v>24</v>
      </c>
      <c r="J16" s="15"/>
      <c r="K16" s="9"/>
      <c r="L16" s="9"/>
      <c r="M16" s="9"/>
      <c r="N16" s="9"/>
      <c r="O16" s="9"/>
      <c r="P16" s="9"/>
      <c r="Q16" s="9"/>
      <c r="R16" s="10"/>
      <c r="U16" s="45" t="s">
        <v>138</v>
      </c>
      <c r="V16" s="9"/>
      <c r="W16" s="9">
        <v>414</v>
      </c>
      <c r="X16" s="9"/>
      <c r="Y16" s="9"/>
      <c r="Z16" s="10"/>
    </row>
    <row r="17" spans="2:26" x14ac:dyDescent="0.15">
      <c r="B17" s="12" t="s">
        <v>12</v>
      </c>
      <c r="C17" s="94" t="s">
        <v>25</v>
      </c>
      <c r="D17" s="95"/>
      <c r="J17" s="15"/>
      <c r="K17" s="9"/>
      <c r="L17" s="9"/>
      <c r="M17" s="9"/>
      <c r="N17" s="9"/>
      <c r="O17" s="9"/>
      <c r="P17" s="9"/>
      <c r="Q17" s="9"/>
      <c r="R17" s="10"/>
      <c r="U17" s="45" t="s">
        <v>124</v>
      </c>
      <c r="V17" s="9"/>
      <c r="W17" s="9">
        <v>369</v>
      </c>
      <c r="X17" s="9"/>
      <c r="Y17" s="9"/>
      <c r="Z17" s="10"/>
    </row>
    <row r="18" spans="2:26" x14ac:dyDescent="0.15">
      <c r="B18" s="12"/>
      <c r="C18" s="96"/>
      <c r="D18" s="97"/>
      <c r="J18" s="15"/>
      <c r="K18" s="9"/>
      <c r="L18" s="9"/>
      <c r="M18" s="9"/>
      <c r="N18" s="9"/>
      <c r="O18" s="9"/>
      <c r="P18" s="9"/>
      <c r="Q18" s="9"/>
      <c r="R18" s="10"/>
      <c r="U18" s="45" t="s">
        <v>125</v>
      </c>
      <c r="V18" s="9"/>
      <c r="W18" s="9">
        <v>79</v>
      </c>
      <c r="X18" s="9"/>
      <c r="Y18" s="9"/>
      <c r="Z18" s="10"/>
    </row>
    <row r="19" spans="2:26" x14ac:dyDescent="0.15">
      <c r="B19" s="14" t="s">
        <v>13</v>
      </c>
      <c r="C19" s="98" t="s">
        <v>14</v>
      </c>
      <c r="D19" s="99"/>
      <c r="E19" s="1" t="s">
        <v>15</v>
      </c>
      <c r="J19" s="27">
        <v>44593</v>
      </c>
      <c r="K19" s="9" t="s">
        <v>77</v>
      </c>
      <c r="L19" s="9"/>
      <c r="M19" s="9"/>
      <c r="N19" s="9"/>
      <c r="O19" s="9"/>
      <c r="P19" s="9"/>
      <c r="Q19" s="9"/>
      <c r="R19" s="10"/>
      <c r="U19" s="45" t="s">
        <v>126</v>
      </c>
      <c r="V19" s="9"/>
      <c r="W19" s="9">
        <v>87</v>
      </c>
      <c r="X19" s="9"/>
      <c r="Y19" s="9"/>
      <c r="Z19" s="10"/>
    </row>
    <row r="20" spans="2:26" x14ac:dyDescent="0.15">
      <c r="J20" s="15"/>
      <c r="K20" s="28" t="s">
        <v>78</v>
      </c>
      <c r="L20" s="9"/>
      <c r="M20" s="9"/>
      <c r="N20" s="9"/>
      <c r="O20" s="9"/>
      <c r="P20" s="9"/>
      <c r="Q20" s="9"/>
      <c r="R20" s="10"/>
      <c r="U20" s="45" t="s">
        <v>127</v>
      </c>
      <c r="V20" s="9"/>
      <c r="W20" s="9">
        <v>2</v>
      </c>
      <c r="X20" s="9"/>
      <c r="Y20" s="9"/>
      <c r="Z20" s="10"/>
    </row>
    <row r="21" spans="2:26" x14ac:dyDescent="0.15">
      <c r="J21" s="15"/>
      <c r="K21" s="9"/>
      <c r="L21" s="9"/>
      <c r="M21" s="9"/>
      <c r="N21" s="9"/>
      <c r="O21" s="9"/>
      <c r="P21" s="9"/>
      <c r="Q21" s="9"/>
      <c r="R21" s="10"/>
      <c r="U21" s="45" t="s">
        <v>139</v>
      </c>
      <c r="V21" s="9"/>
      <c r="W21" s="9">
        <v>31</v>
      </c>
      <c r="X21" s="9"/>
      <c r="Y21" s="9"/>
      <c r="Z21" s="10"/>
    </row>
    <row r="22" spans="2:26" x14ac:dyDescent="0.15">
      <c r="B22" s="78" t="s">
        <v>16</v>
      </c>
      <c r="C22" s="79"/>
      <c r="D22" s="80"/>
      <c r="J22" s="27">
        <v>44501</v>
      </c>
      <c r="K22" s="9" t="s">
        <v>159</v>
      </c>
      <c r="L22" s="9"/>
      <c r="M22" s="9"/>
      <c r="N22" s="9"/>
      <c r="O22" s="9"/>
      <c r="P22" s="9"/>
      <c r="Q22" s="9"/>
      <c r="R22" s="10"/>
      <c r="U22" s="45" t="s">
        <v>142</v>
      </c>
      <c r="V22" s="9"/>
      <c r="W22" s="9">
        <v>151</v>
      </c>
      <c r="X22" s="9"/>
      <c r="Y22" s="9"/>
      <c r="Z22" s="10"/>
    </row>
    <row r="23" spans="2:26" x14ac:dyDescent="0.15">
      <c r="B23" s="15" t="s">
        <v>17</v>
      </c>
      <c r="C23" s="94" t="s">
        <v>26</v>
      </c>
      <c r="D23" s="95"/>
      <c r="E23" s="1" t="s">
        <v>119</v>
      </c>
      <c r="J23" s="15"/>
      <c r="K23" s="9"/>
      <c r="L23" s="9"/>
      <c r="M23" s="9"/>
      <c r="N23" s="9"/>
      <c r="O23" s="9"/>
      <c r="P23" s="9"/>
      <c r="Q23" s="9"/>
      <c r="R23" s="10"/>
      <c r="U23" s="45" t="s">
        <v>143</v>
      </c>
      <c r="V23" s="9"/>
      <c r="W23" s="9">
        <v>889</v>
      </c>
      <c r="X23" s="9"/>
      <c r="Y23" s="9"/>
      <c r="Z23" s="10"/>
    </row>
    <row r="24" spans="2:26" x14ac:dyDescent="0.15">
      <c r="B24" s="15" t="s">
        <v>18</v>
      </c>
      <c r="C24" s="94">
        <v>1981</v>
      </c>
      <c r="D24" s="95"/>
      <c r="J24" s="15"/>
      <c r="K24" s="9"/>
      <c r="L24" s="9"/>
      <c r="M24" s="9"/>
      <c r="N24" s="9"/>
      <c r="O24" s="9"/>
      <c r="P24" s="9"/>
      <c r="Q24" s="9"/>
      <c r="R24" s="10"/>
      <c r="U24" s="45" t="s">
        <v>144</v>
      </c>
      <c r="V24" s="9"/>
      <c r="W24" s="9">
        <v>427</v>
      </c>
      <c r="X24" s="9"/>
      <c r="Y24" s="9"/>
      <c r="Z24" s="10"/>
    </row>
    <row r="25" spans="2:26" x14ac:dyDescent="0.15">
      <c r="B25" s="15" t="s">
        <v>19</v>
      </c>
      <c r="C25" s="94">
        <v>3402</v>
      </c>
      <c r="D25" s="95"/>
      <c r="J25" s="27">
        <v>44317</v>
      </c>
      <c r="K25" s="9" t="s">
        <v>79</v>
      </c>
      <c r="L25" s="9"/>
      <c r="M25" s="9"/>
      <c r="N25" s="9"/>
      <c r="O25" s="9"/>
      <c r="P25" s="9"/>
      <c r="Q25" s="9"/>
      <c r="R25" s="10"/>
      <c r="U25" s="45" t="s">
        <v>145</v>
      </c>
      <c r="V25" s="9"/>
      <c r="W25" s="9">
        <v>289</v>
      </c>
      <c r="X25" s="9"/>
      <c r="Y25" s="9"/>
      <c r="Z25" s="10"/>
    </row>
    <row r="26" spans="2:26" x14ac:dyDescent="0.15">
      <c r="B26" s="15" t="s">
        <v>120</v>
      </c>
      <c r="C26" s="86">
        <f>'Financial Model'!L44</f>
        <v>1428.5</v>
      </c>
      <c r="D26" s="87"/>
      <c r="J26" s="16"/>
      <c r="K26" s="17"/>
      <c r="L26" s="17"/>
      <c r="M26" s="17"/>
      <c r="N26" s="17"/>
      <c r="O26" s="17"/>
      <c r="P26" s="17"/>
      <c r="Q26" s="17"/>
      <c r="R26" s="11"/>
      <c r="U26" s="45" t="s">
        <v>146</v>
      </c>
      <c r="V26" s="9"/>
      <c r="W26" s="9">
        <v>4</v>
      </c>
      <c r="X26" s="9"/>
      <c r="Y26" s="9"/>
      <c r="Z26" s="10"/>
    </row>
    <row r="27" spans="2:26" x14ac:dyDescent="0.15">
      <c r="B27" s="15"/>
      <c r="C27" s="43"/>
      <c r="D27" s="44"/>
      <c r="U27" s="45" t="s">
        <v>147</v>
      </c>
      <c r="V27" s="9"/>
      <c r="W27" s="9">
        <v>166</v>
      </c>
      <c r="X27" s="9"/>
      <c r="Y27" s="9"/>
      <c r="Z27" s="10"/>
    </row>
    <row r="28" spans="2:26" x14ac:dyDescent="0.15">
      <c r="B28" s="15" t="s">
        <v>21</v>
      </c>
      <c r="C28" s="64" t="s">
        <v>37</v>
      </c>
      <c r="D28" s="69">
        <v>44826</v>
      </c>
      <c r="E28" s="68"/>
      <c r="U28" s="45" t="s">
        <v>148</v>
      </c>
      <c r="V28" s="9"/>
      <c r="W28" s="9">
        <v>244</v>
      </c>
      <c r="X28" s="9"/>
      <c r="Y28" s="9"/>
      <c r="Z28" s="10"/>
    </row>
    <row r="29" spans="2:26" ht="14" thickBot="1" x14ac:dyDescent="0.2">
      <c r="B29" s="16" t="s">
        <v>20</v>
      </c>
      <c r="C29" s="92" t="s">
        <v>22</v>
      </c>
      <c r="D29" s="93"/>
      <c r="U29" s="48" t="s">
        <v>149</v>
      </c>
      <c r="V29" s="49"/>
      <c r="W29" s="49">
        <v>2</v>
      </c>
      <c r="X29" s="49"/>
      <c r="Y29" s="49"/>
      <c r="Z29" s="50"/>
    </row>
    <row r="30" spans="2:26" x14ac:dyDescent="0.15">
      <c r="U30" s="51" t="s">
        <v>150</v>
      </c>
      <c r="V30" s="52"/>
      <c r="W30" s="52">
        <f>SUM(W16:W29)</f>
        <v>3154</v>
      </c>
      <c r="X30" s="52"/>
      <c r="Y30" s="52"/>
      <c r="Z30" s="53"/>
    </row>
    <row r="31" spans="2:26" x14ac:dyDescent="0.15">
      <c r="U31" s="81" t="s">
        <v>141</v>
      </c>
      <c r="V31" s="82"/>
      <c r="W31" s="82"/>
      <c r="X31" s="82"/>
      <c r="Y31" s="82"/>
      <c r="Z31" s="83"/>
    </row>
    <row r="32" spans="2:26" x14ac:dyDescent="0.15">
      <c r="B32" s="78" t="s">
        <v>111</v>
      </c>
      <c r="C32" s="79"/>
      <c r="D32" s="80"/>
      <c r="U32" s="45" t="s">
        <v>128</v>
      </c>
      <c r="V32" s="9"/>
      <c r="W32" s="9">
        <v>55</v>
      </c>
      <c r="X32" s="9"/>
      <c r="Y32" s="9"/>
      <c r="Z32" s="10"/>
    </row>
    <row r="33" spans="2:26" x14ac:dyDescent="0.15">
      <c r="B33" s="15" t="s">
        <v>112</v>
      </c>
      <c r="C33" s="84">
        <f>Main!C12/'Financial Model'!L18</f>
        <v>23.847711511789132</v>
      </c>
      <c r="D33" s="85"/>
      <c r="U33" s="45" t="s">
        <v>129</v>
      </c>
      <c r="V33" s="9"/>
      <c r="W33" s="9">
        <v>93</v>
      </c>
      <c r="X33" s="9"/>
      <c r="Y33" s="9"/>
      <c r="Z33" s="10"/>
    </row>
    <row r="34" spans="2:26" x14ac:dyDescent="0.15">
      <c r="B34" s="15" t="s">
        <v>113</v>
      </c>
      <c r="C34" s="88">
        <f>C6/('Financial Model'!L19+'Financial Model'!K19)</f>
        <v>15.457605489902271</v>
      </c>
      <c r="D34" s="89"/>
      <c r="U34" s="45" t="s">
        <v>130</v>
      </c>
      <c r="V34" s="9"/>
      <c r="W34" s="9">
        <v>3</v>
      </c>
      <c r="X34" s="9"/>
      <c r="Y34" s="9"/>
      <c r="Z34" s="10"/>
    </row>
    <row r="35" spans="2:26" x14ac:dyDescent="0.15">
      <c r="B35" s="15" t="s">
        <v>114</v>
      </c>
      <c r="C35" s="100">
        <f>'Financial Model'!L92</f>
        <v>0.24699383736660172</v>
      </c>
      <c r="D35" s="101"/>
      <c r="U35" s="45" t="s">
        <v>131</v>
      </c>
      <c r="V35" s="9"/>
      <c r="W35" s="9">
        <v>13</v>
      </c>
      <c r="X35" s="9"/>
      <c r="Y35" s="9"/>
      <c r="Z35" s="10"/>
    </row>
    <row r="36" spans="2:26" x14ac:dyDescent="0.15">
      <c r="B36" s="15" t="s">
        <v>115</v>
      </c>
      <c r="C36" s="88">
        <f>C6/'Financial Model'!L70</f>
        <v>2.3181761427250871</v>
      </c>
      <c r="D36" s="89"/>
      <c r="U36" s="45" t="s">
        <v>132</v>
      </c>
      <c r="V36" s="9"/>
      <c r="W36" s="9">
        <v>65</v>
      </c>
      <c r="X36" s="9"/>
      <c r="Y36" s="9"/>
      <c r="Z36" s="10"/>
    </row>
    <row r="37" spans="2:26" x14ac:dyDescent="0.15">
      <c r="B37" s="15"/>
      <c r="C37" s="40"/>
      <c r="D37" s="41"/>
      <c r="U37" s="45" t="s">
        <v>133</v>
      </c>
      <c r="V37" s="9"/>
      <c r="W37" s="9">
        <v>3</v>
      </c>
      <c r="X37" s="9"/>
      <c r="Y37" s="9"/>
      <c r="Z37" s="10"/>
    </row>
    <row r="38" spans="2:26" x14ac:dyDescent="0.15">
      <c r="B38" s="16" t="s">
        <v>116</v>
      </c>
      <c r="C38" s="90">
        <f>C6/'Financial Model'!S19</f>
        <v>25.392383493891764</v>
      </c>
      <c r="D38" s="91"/>
      <c r="U38" s="45" t="s">
        <v>134</v>
      </c>
      <c r="V38" s="9"/>
      <c r="W38" s="9">
        <v>3</v>
      </c>
      <c r="X38" s="9"/>
      <c r="Y38" s="9"/>
      <c r="Z38" s="10"/>
    </row>
    <row r="39" spans="2:26" x14ac:dyDescent="0.15">
      <c r="U39" s="45" t="s">
        <v>135</v>
      </c>
      <c r="V39" s="9"/>
      <c r="W39" s="9">
        <v>10</v>
      </c>
      <c r="X39" s="9"/>
      <c r="Y39" s="9"/>
      <c r="Z39" s="10"/>
    </row>
    <row r="40" spans="2:26" ht="14" thickBot="1" x14ac:dyDescent="0.2">
      <c r="U40" s="48" t="s">
        <v>136</v>
      </c>
      <c r="V40" s="49"/>
      <c r="W40" s="49">
        <v>3</v>
      </c>
      <c r="X40" s="49"/>
      <c r="Y40" s="49"/>
      <c r="Z40" s="50"/>
    </row>
    <row r="41" spans="2:26" x14ac:dyDescent="0.15">
      <c r="U41" s="54" t="s">
        <v>151</v>
      </c>
      <c r="V41" s="55"/>
      <c r="W41" s="55">
        <f>SUM(W32:W40)</f>
        <v>248</v>
      </c>
      <c r="X41" s="55"/>
      <c r="Y41" s="55"/>
      <c r="Z41" s="56"/>
    </row>
    <row r="42" spans="2:26" x14ac:dyDescent="0.15">
      <c r="U42" s="57" t="s">
        <v>152</v>
      </c>
      <c r="V42" s="58"/>
      <c r="W42" s="59">
        <f>W41+W30</f>
        <v>3402</v>
      </c>
      <c r="X42" s="58"/>
      <c r="Y42" s="58"/>
      <c r="Z42" s="60"/>
    </row>
  </sheetData>
  <mergeCells count="22">
    <mergeCell ref="J5:R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  <mergeCell ref="C34:D34"/>
    <mergeCell ref="C38:D38"/>
    <mergeCell ref="C29:D29"/>
    <mergeCell ref="C35:D35"/>
    <mergeCell ref="C36:D36"/>
    <mergeCell ref="U13:Z13"/>
    <mergeCell ref="U15:Z15"/>
    <mergeCell ref="U31:Z31"/>
    <mergeCell ref="B32:D32"/>
    <mergeCell ref="C33:D33"/>
    <mergeCell ref="C26:D26"/>
  </mergeCells>
  <hyperlinks>
    <hyperlink ref="C29:D29" r:id="rId1" display="Link" xr:uid="{50A5A8B1-9447-405B-8B83-89261E65DD2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3BE-4343-43E1-9A3D-8E131F07A90A}">
  <dimension ref="B1:AG92"/>
  <sheetViews>
    <sheetView workbookViewId="0">
      <pane xSplit="2" ySplit="3" topLeftCell="C63" activePane="bottomRight" state="frozen"/>
      <selection pane="topRight" activeCell="C1" sqref="C1"/>
      <selection pane="bottomLeft" activeCell="A3" sqref="A3"/>
      <selection pane="bottomRight" activeCell="N86" sqref="N86"/>
    </sheetView>
  </sheetViews>
  <sheetFormatPr baseColWidth="10" defaultColWidth="9.1640625" defaultRowHeight="13" x14ac:dyDescent="0.15"/>
  <cols>
    <col min="1" max="1" width="9.1640625" style="1"/>
    <col min="2" max="2" width="29.5" style="1" bestFit="1" customWidth="1"/>
    <col min="3" max="4" width="9.1640625" style="1"/>
    <col min="5" max="5" width="9.1640625" style="35"/>
    <col min="6" max="6" width="9.1640625" style="1"/>
    <col min="7" max="7" width="9.1640625" style="35"/>
    <col min="8" max="8" width="9.1640625" style="1"/>
    <col min="9" max="9" width="9.1640625" style="35"/>
    <col min="10" max="10" width="9.1640625" style="1"/>
    <col min="11" max="11" width="9.1640625" style="35"/>
    <col min="12" max="16384" width="9.1640625" style="1"/>
  </cols>
  <sheetData>
    <row r="1" spans="2:33" s="18" customFormat="1" x14ac:dyDescent="0.15">
      <c r="D1" s="18" t="s">
        <v>29</v>
      </c>
      <c r="E1" s="33" t="s">
        <v>30</v>
      </c>
      <c r="F1" s="18" t="s">
        <v>31</v>
      </c>
      <c r="G1" s="33" t="s">
        <v>32</v>
      </c>
      <c r="H1" s="18" t="s">
        <v>33</v>
      </c>
      <c r="I1" s="33" t="s">
        <v>34</v>
      </c>
      <c r="J1" s="18" t="s">
        <v>35</v>
      </c>
      <c r="K1" s="33" t="s">
        <v>36</v>
      </c>
      <c r="L1" s="37" t="s">
        <v>37</v>
      </c>
      <c r="O1" s="18" t="s">
        <v>109</v>
      </c>
      <c r="P1" s="37" t="s">
        <v>108</v>
      </c>
      <c r="Q1" s="18" t="s">
        <v>38</v>
      </c>
      <c r="R1" s="37" t="s">
        <v>39</v>
      </c>
      <c r="S1" s="18" t="s">
        <v>40</v>
      </c>
      <c r="T1" s="37" t="s">
        <v>27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8" t="s">
        <v>46</v>
      </c>
      <c r="AA1" s="18" t="s">
        <v>47</v>
      </c>
      <c r="AB1" s="18" t="s">
        <v>48</v>
      </c>
      <c r="AC1" s="18" t="s">
        <v>49</v>
      </c>
      <c r="AD1" s="18" t="s">
        <v>50</v>
      </c>
      <c r="AE1" s="18" t="s">
        <v>52</v>
      </c>
      <c r="AF1" s="18" t="s">
        <v>51</v>
      </c>
      <c r="AG1" s="18" t="s">
        <v>53</v>
      </c>
    </row>
    <row r="2" spans="2:33" s="20" customFormat="1" x14ac:dyDescent="0.15">
      <c r="B2" s="19"/>
      <c r="E2" s="36">
        <f>Q2</f>
        <v>43498</v>
      </c>
      <c r="G2" s="36">
        <f>R2</f>
        <v>43862</v>
      </c>
      <c r="I2" s="36">
        <f>S2</f>
        <v>44225</v>
      </c>
      <c r="J2" s="21">
        <v>44773</v>
      </c>
      <c r="K2" s="36">
        <f>T2</f>
        <v>44590</v>
      </c>
      <c r="L2" s="21">
        <v>44772</v>
      </c>
      <c r="O2" s="21">
        <v>42763</v>
      </c>
      <c r="P2" s="21">
        <v>43134</v>
      </c>
      <c r="Q2" s="21">
        <v>43498</v>
      </c>
      <c r="R2" s="21">
        <v>43862</v>
      </c>
      <c r="S2" s="21">
        <v>44225</v>
      </c>
      <c r="T2" s="21">
        <v>44590</v>
      </c>
    </row>
    <row r="3" spans="2:33" s="20" customFormat="1" x14ac:dyDescent="0.15">
      <c r="B3" s="19"/>
      <c r="E3" s="36"/>
      <c r="G3" s="36"/>
      <c r="I3" s="36"/>
      <c r="J3" s="21"/>
      <c r="K3" s="36"/>
      <c r="L3" s="70">
        <v>44826</v>
      </c>
      <c r="O3" s="21"/>
      <c r="P3" s="21"/>
      <c r="Q3" s="21"/>
      <c r="R3" s="21"/>
      <c r="S3" s="21"/>
      <c r="T3" s="21"/>
    </row>
    <row r="4" spans="2:33" s="61" customFormat="1" x14ac:dyDescent="0.15">
      <c r="B4" s="61" t="s">
        <v>140</v>
      </c>
      <c r="E4" s="62"/>
      <c r="G4" s="62"/>
      <c r="I4" s="62"/>
      <c r="K4" s="62"/>
      <c r="L4" s="63">
        <v>4143.3999999999996</v>
      </c>
      <c r="O4" s="63"/>
      <c r="P4" s="63"/>
      <c r="Q4" s="63"/>
      <c r="R4" s="63"/>
      <c r="S4" s="63"/>
      <c r="T4" s="63"/>
    </row>
    <row r="5" spans="2:33" s="61" customFormat="1" x14ac:dyDescent="0.15">
      <c r="B5" s="61" t="s">
        <v>141</v>
      </c>
      <c r="E5" s="62"/>
      <c r="G5" s="62"/>
      <c r="I5" s="62"/>
      <c r="K5" s="62"/>
      <c r="L5" s="63">
        <v>274.7</v>
      </c>
      <c r="O5" s="63"/>
      <c r="P5" s="63"/>
      <c r="Q5" s="63"/>
      <c r="R5" s="63"/>
      <c r="S5" s="63"/>
      <c r="T5" s="63"/>
    </row>
    <row r="6" spans="2:33" s="2" customFormat="1" x14ac:dyDescent="0.15">
      <c r="B6" s="2" t="s">
        <v>28</v>
      </c>
      <c r="E6" s="34"/>
      <c r="G6" s="34"/>
      <c r="I6" s="34"/>
      <c r="J6" s="22">
        <v>3885.8</v>
      </c>
      <c r="K6" s="73">
        <f>T6-J6</f>
        <v>4677.2</v>
      </c>
      <c r="L6" s="22">
        <v>4418.1000000000004</v>
      </c>
      <c r="O6" s="22">
        <v>2378.6999999999998</v>
      </c>
      <c r="P6" s="22">
        <v>3161.4</v>
      </c>
      <c r="Q6" s="22">
        <v>4717.8</v>
      </c>
      <c r="R6" s="22">
        <v>6110.8</v>
      </c>
      <c r="S6" s="22">
        <v>6167.3</v>
      </c>
      <c r="T6" s="22">
        <v>8563</v>
      </c>
    </row>
    <row r="7" spans="2:33" x14ac:dyDescent="0.15">
      <c r="B7" s="1" t="s">
        <v>54</v>
      </c>
      <c r="J7" s="4">
        <v>2000.6</v>
      </c>
      <c r="K7" s="74">
        <f>T7-J7</f>
        <v>2354.4</v>
      </c>
      <c r="L7" s="4">
        <v>2277.5</v>
      </c>
      <c r="O7" s="4">
        <v>1215.0999999999999</v>
      </c>
      <c r="P7" s="4">
        <v>1629.8</v>
      </c>
      <c r="Q7" s="4">
        <v>2474.5</v>
      </c>
      <c r="R7" s="4">
        <v>3236</v>
      </c>
      <c r="S7" s="4">
        <v>3205.7</v>
      </c>
      <c r="T7" s="4">
        <v>4355</v>
      </c>
    </row>
    <row r="8" spans="2:33" s="2" customFormat="1" x14ac:dyDescent="0.15">
      <c r="B8" s="2" t="s">
        <v>55</v>
      </c>
      <c r="E8" s="34"/>
      <c r="G8" s="34"/>
      <c r="I8" s="34"/>
      <c r="J8" s="22">
        <f>J6-J7</f>
        <v>1885.2000000000003</v>
      </c>
      <c r="K8" s="73">
        <f>K6-K7</f>
        <v>2322.7999999999997</v>
      </c>
      <c r="L8" s="22">
        <f>L6-L7</f>
        <v>2140.6000000000004</v>
      </c>
      <c r="O8" s="22">
        <f t="shared" ref="O8:T8" si="0">O6-O7</f>
        <v>1163.5999999999999</v>
      </c>
      <c r="P8" s="22">
        <f t="shared" si="0"/>
        <v>1531.6000000000001</v>
      </c>
      <c r="Q8" s="22">
        <f t="shared" si="0"/>
        <v>2243.3000000000002</v>
      </c>
      <c r="R8" s="22">
        <f t="shared" si="0"/>
        <v>2874.8</v>
      </c>
      <c r="S8" s="22">
        <f t="shared" si="0"/>
        <v>2961.6000000000004</v>
      </c>
      <c r="T8" s="22">
        <f t="shared" si="0"/>
        <v>4208</v>
      </c>
    </row>
    <row r="9" spans="2:33" x14ac:dyDescent="0.15">
      <c r="B9" s="1" t="s">
        <v>56</v>
      </c>
      <c r="J9" s="4">
        <v>1206.7</v>
      </c>
      <c r="K9" s="74">
        <f>T9-J9</f>
        <v>1601.3999999999999</v>
      </c>
      <c r="L9" s="4">
        <v>1496.5</v>
      </c>
      <c r="O9" s="4">
        <v>813</v>
      </c>
      <c r="P9" s="4">
        <v>1080.5</v>
      </c>
      <c r="Q9" s="4">
        <v>1632.9</v>
      </c>
      <c r="R9" s="4">
        <v>2020.2</v>
      </c>
      <c r="S9" s="4">
        <v>2126.4</v>
      </c>
      <c r="T9" s="4">
        <v>2808.1</v>
      </c>
    </row>
    <row r="10" spans="2:33" x14ac:dyDescent="0.15">
      <c r="B10" s="1" t="s">
        <v>57</v>
      </c>
      <c r="J10" s="4">
        <v>220.1</v>
      </c>
      <c r="K10" s="74">
        <f>T10-J10</f>
        <v>193.29999999999998</v>
      </c>
      <c r="L10" s="4">
        <v>241.8</v>
      </c>
      <c r="O10" s="4">
        <v>106.2</v>
      </c>
      <c r="P10" s="4">
        <v>144.69999999999999</v>
      </c>
      <c r="Q10" s="4">
        <v>253.6</v>
      </c>
      <c r="R10" s="4">
        <v>348.6</v>
      </c>
      <c r="S10" s="4">
        <v>381.2</v>
      </c>
      <c r="T10" s="4">
        <v>413.4</v>
      </c>
    </row>
    <row r="11" spans="2:33" x14ac:dyDescent="0.15">
      <c r="B11" s="1" t="s">
        <v>58</v>
      </c>
      <c r="J11" s="4">
        <v>74.900000000000006</v>
      </c>
      <c r="K11" s="74">
        <f>T11-J11</f>
        <v>217.6</v>
      </c>
      <c r="L11" s="4">
        <v>85.2</v>
      </c>
      <c r="O11" s="4">
        <v>6.4</v>
      </c>
      <c r="P11" s="4">
        <v>12.9</v>
      </c>
      <c r="Q11" s="4">
        <v>15.3</v>
      </c>
      <c r="R11" s="4">
        <v>90.3</v>
      </c>
      <c r="S11" s="4">
        <v>97.3</v>
      </c>
      <c r="T11" s="4">
        <v>292.5</v>
      </c>
    </row>
    <row r="12" spans="2:33" x14ac:dyDescent="0.15">
      <c r="B12" s="1" t="s">
        <v>59</v>
      </c>
      <c r="J12" s="4">
        <v>13.3</v>
      </c>
      <c r="K12" s="74">
        <f>T12-J12</f>
        <v>13.899999999999999</v>
      </c>
      <c r="L12" s="4">
        <v>15.8</v>
      </c>
      <c r="O12" s="4">
        <v>1.8</v>
      </c>
      <c r="P12" s="4">
        <v>2.4</v>
      </c>
      <c r="Q12" s="4">
        <v>4.7</v>
      </c>
      <c r="R12" s="4">
        <v>10.9</v>
      </c>
      <c r="S12" s="4">
        <v>28.3</v>
      </c>
      <c r="T12" s="4">
        <v>27.2</v>
      </c>
    </row>
    <row r="13" spans="2:33" s="2" customFormat="1" x14ac:dyDescent="0.15">
      <c r="B13" s="2" t="s">
        <v>60</v>
      </c>
      <c r="E13" s="34"/>
      <c r="G13" s="34"/>
      <c r="I13" s="34"/>
      <c r="J13" s="22">
        <f t="shared" ref="J13:L13" si="1">J8-J9-J10-J11+J12</f>
        <v>396.80000000000024</v>
      </c>
      <c r="K13" s="73">
        <f t="shared" si="1"/>
        <v>324.39999999999986</v>
      </c>
      <c r="L13" s="22">
        <f t="shared" si="1"/>
        <v>332.90000000000038</v>
      </c>
      <c r="O13" s="22">
        <f t="shared" ref="O13:T13" si="2">O8-O9-O10-O11+O12</f>
        <v>239.79999999999993</v>
      </c>
      <c r="P13" s="22">
        <f t="shared" si="2"/>
        <v>295.90000000000015</v>
      </c>
      <c r="Q13" s="22">
        <f t="shared" si="2"/>
        <v>346.20000000000005</v>
      </c>
      <c r="R13" s="22">
        <f t="shared" si="2"/>
        <v>426.60000000000008</v>
      </c>
      <c r="S13" s="22">
        <f t="shared" si="2"/>
        <v>385.00000000000028</v>
      </c>
      <c r="T13" s="22">
        <f t="shared" si="2"/>
        <v>721.20000000000016</v>
      </c>
    </row>
    <row r="14" spans="2:33" x14ac:dyDescent="0.15">
      <c r="B14" s="1" t="s">
        <v>61</v>
      </c>
      <c r="J14" s="4">
        <v>0.5</v>
      </c>
      <c r="K14" s="74">
        <f>T14-J14</f>
        <v>0.89999999999999991</v>
      </c>
      <c r="L14" s="1">
        <v>1.1000000000000001</v>
      </c>
      <c r="O14" s="4">
        <v>0.8</v>
      </c>
      <c r="P14" s="4">
        <v>0.6</v>
      </c>
      <c r="Q14" s="4">
        <v>1.2</v>
      </c>
      <c r="R14" s="4">
        <v>1.7</v>
      </c>
      <c r="S14" s="4">
        <v>1.5</v>
      </c>
      <c r="T14" s="4">
        <v>1.4</v>
      </c>
    </row>
    <row r="15" spans="2:33" x14ac:dyDescent="0.15">
      <c r="B15" s="1" t="s">
        <v>62</v>
      </c>
      <c r="J15" s="4">
        <v>32.700000000000003</v>
      </c>
      <c r="K15" s="74">
        <f>T15-J15</f>
        <v>35.200000000000003</v>
      </c>
      <c r="L15" s="1">
        <v>35.700000000000003</v>
      </c>
      <c r="O15" s="4">
        <v>2.2000000000000002</v>
      </c>
      <c r="P15" s="4">
        <v>2</v>
      </c>
      <c r="Q15" s="4">
        <v>7.5</v>
      </c>
      <c r="R15" s="4">
        <v>79.8</v>
      </c>
      <c r="S15" s="4">
        <v>62.5</v>
      </c>
      <c r="T15" s="4">
        <v>67.900000000000006</v>
      </c>
    </row>
    <row r="16" spans="2:33" x14ac:dyDescent="0.15">
      <c r="B16" s="1" t="s">
        <v>63</v>
      </c>
      <c r="J16" s="4">
        <f t="shared" ref="J16:L16" si="3">J13+J14-J15</f>
        <v>364.60000000000025</v>
      </c>
      <c r="K16" s="74">
        <f t="shared" si="3"/>
        <v>290.09999999999985</v>
      </c>
      <c r="L16" s="4">
        <f t="shared" si="3"/>
        <v>298.30000000000041</v>
      </c>
      <c r="O16" s="4">
        <f t="shared" ref="O16:T16" si="4">O13+O14-O15</f>
        <v>238.39999999999995</v>
      </c>
      <c r="P16" s="4">
        <f t="shared" si="4"/>
        <v>294.50000000000017</v>
      </c>
      <c r="Q16" s="4">
        <f t="shared" si="4"/>
        <v>339.90000000000003</v>
      </c>
      <c r="R16" s="4">
        <f t="shared" si="4"/>
        <v>348.50000000000006</v>
      </c>
      <c r="S16" s="4">
        <f t="shared" si="4"/>
        <v>324.00000000000028</v>
      </c>
      <c r="T16" s="4">
        <f t="shared" si="4"/>
        <v>654.70000000000016</v>
      </c>
    </row>
    <row r="17" spans="2:20" x14ac:dyDescent="0.15">
      <c r="B17" s="1" t="s">
        <v>64</v>
      </c>
      <c r="J17" s="4">
        <v>87.8</v>
      </c>
      <c r="K17" s="74">
        <f>T17-J17</f>
        <v>107.3</v>
      </c>
      <c r="L17" s="4">
        <v>82</v>
      </c>
      <c r="O17" s="4">
        <v>53.8</v>
      </c>
      <c r="P17" s="4">
        <v>58.1</v>
      </c>
      <c r="Q17" s="4">
        <v>75.7</v>
      </c>
      <c r="R17" s="4">
        <v>97.8</v>
      </c>
      <c r="S17" s="4">
        <v>94.8</v>
      </c>
      <c r="T17" s="4">
        <v>195.1</v>
      </c>
    </row>
    <row r="18" spans="2:20" s="2" customFormat="1" x14ac:dyDescent="0.15">
      <c r="B18" s="2" t="s">
        <v>65</v>
      </c>
      <c r="E18" s="34"/>
      <c r="G18" s="34"/>
      <c r="I18" s="34"/>
      <c r="J18" s="22">
        <f t="shared" ref="J18:L18" si="5">J16-J17</f>
        <v>276.80000000000024</v>
      </c>
      <c r="K18" s="73">
        <f t="shared" si="5"/>
        <v>182.79999999999984</v>
      </c>
      <c r="L18" s="22">
        <f t="shared" si="5"/>
        <v>216.30000000000041</v>
      </c>
      <c r="O18" s="22">
        <f t="shared" ref="O18:T18" si="6">O16-O17</f>
        <v>184.59999999999997</v>
      </c>
      <c r="P18" s="22">
        <f t="shared" si="6"/>
        <v>236.40000000000018</v>
      </c>
      <c r="Q18" s="22">
        <f t="shared" si="6"/>
        <v>264.20000000000005</v>
      </c>
      <c r="R18" s="22">
        <f t="shared" si="6"/>
        <v>250.70000000000005</v>
      </c>
      <c r="S18" s="22">
        <f t="shared" si="6"/>
        <v>229.20000000000027</v>
      </c>
      <c r="T18" s="22">
        <f t="shared" si="6"/>
        <v>459.60000000000014</v>
      </c>
    </row>
    <row r="19" spans="2:20" x14ac:dyDescent="0.15">
      <c r="B19" s="1" t="s">
        <v>66</v>
      </c>
      <c r="J19" s="65">
        <f t="shared" ref="J19:L19" si="7">J18/J20</f>
        <v>5.366279867068529E-2</v>
      </c>
      <c r="K19" s="75">
        <f t="shared" si="7"/>
        <v>3.5439160393790657E-2</v>
      </c>
      <c r="L19" s="66">
        <f t="shared" si="7"/>
        <v>4.193375488608829E-2</v>
      </c>
      <c r="O19" s="4">
        <f t="shared" ref="O19:R19" si="8">O18/O20</f>
        <v>0.18967705539338586</v>
      </c>
      <c r="P19" s="4">
        <f t="shared" si="8"/>
        <v>0.24290171124050086</v>
      </c>
      <c r="Q19" s="24">
        <f t="shared" si="8"/>
        <v>0.27146629488045809</v>
      </c>
      <c r="R19" s="24">
        <f t="shared" si="8"/>
        <v>0.25759500426393206</v>
      </c>
      <c r="S19" s="24">
        <f>S18/S20</f>
        <v>4.7100737915670751E-2</v>
      </c>
      <c r="T19" s="24">
        <f>T18/T20</f>
        <v>8.9101959064475947E-2</v>
      </c>
    </row>
    <row r="20" spans="2:20" x14ac:dyDescent="0.15">
      <c r="B20" s="1" t="s">
        <v>4</v>
      </c>
      <c r="J20" s="4">
        <v>5158.1357449999996</v>
      </c>
      <c r="K20" s="74">
        <f>T20</f>
        <v>5158.1357449999996</v>
      </c>
      <c r="L20" s="4">
        <v>5158.1357449999996</v>
      </c>
      <c r="O20" s="4">
        <v>973.23316</v>
      </c>
      <c r="P20" s="4">
        <v>973.23316</v>
      </c>
      <c r="Q20" s="4">
        <v>973.23316</v>
      </c>
      <c r="R20" s="4">
        <v>973.23316</v>
      </c>
      <c r="S20" s="4">
        <v>4866.1657999999998</v>
      </c>
      <c r="T20" s="4">
        <v>5158.1357449999996</v>
      </c>
    </row>
    <row r="22" spans="2:20" s="2" customFormat="1" x14ac:dyDescent="0.15">
      <c r="B22" s="2" t="s">
        <v>67</v>
      </c>
      <c r="E22" s="34"/>
      <c r="G22" s="34"/>
      <c r="I22" s="34"/>
      <c r="K22" s="34"/>
      <c r="L22" s="25">
        <f>L6/J6-1</f>
        <v>0.13698594883936388</v>
      </c>
      <c r="O22" s="39" t="s">
        <v>82</v>
      </c>
      <c r="P22" s="38">
        <v>0.49</v>
      </c>
      <c r="Q22" s="25">
        <f>Q6/P6-1</f>
        <v>0.49231353197950267</v>
      </c>
      <c r="R22" s="25">
        <f>R6/Q6-1</f>
        <v>0.29526474204078168</v>
      </c>
      <c r="S22" s="25">
        <f>S6/R6-1</f>
        <v>9.245925247103548E-3</v>
      </c>
      <c r="T22" s="25">
        <f>T6/S6-1</f>
        <v>0.38845199682194798</v>
      </c>
    </row>
    <row r="23" spans="2:20" x14ac:dyDescent="0.15">
      <c r="B23" s="1" t="s">
        <v>68</v>
      </c>
      <c r="K23" s="76">
        <f>K6/J6-1</f>
        <v>0.20366462504503557</v>
      </c>
      <c r="L23" s="23">
        <f>L6/K6-1</f>
        <v>-5.539639100316418E-2</v>
      </c>
      <c r="O23" s="39" t="s">
        <v>82</v>
      </c>
      <c r="P23" s="39" t="s">
        <v>82</v>
      </c>
      <c r="Q23" s="32" t="s">
        <v>82</v>
      </c>
      <c r="R23" s="32" t="s">
        <v>82</v>
      </c>
      <c r="S23" s="32" t="s">
        <v>82</v>
      </c>
      <c r="T23" s="32" t="s">
        <v>82</v>
      </c>
    </row>
    <row r="25" spans="2:20" s="2" customFormat="1" x14ac:dyDescent="0.15">
      <c r="B25" s="2" t="s">
        <v>110</v>
      </c>
      <c r="E25" s="34"/>
      <c r="G25" s="34"/>
      <c r="I25" s="34"/>
      <c r="K25" s="34"/>
      <c r="L25" s="25">
        <f>L18/J18-1</f>
        <v>-0.21856936416184891</v>
      </c>
      <c r="O25" s="67" t="s">
        <v>82</v>
      </c>
      <c r="P25" s="25">
        <f t="shared" ref="P25:S25" si="9">P18/O18-1</f>
        <v>0.28060671722643682</v>
      </c>
      <c r="Q25" s="25">
        <f t="shared" si="9"/>
        <v>0.11759729272419572</v>
      </c>
      <c r="R25" s="25">
        <f t="shared" si="9"/>
        <v>-5.1097653292959899E-2</v>
      </c>
      <c r="S25" s="25">
        <f t="shared" si="9"/>
        <v>-8.5759872357398348E-2</v>
      </c>
      <c r="T25" s="25">
        <f>T18/S18-1</f>
        <v>1.0052356020942392</v>
      </c>
    </row>
    <row r="27" spans="2:20" x14ac:dyDescent="0.15">
      <c r="B27" s="1" t="s">
        <v>69</v>
      </c>
      <c r="J27" s="23">
        <f t="shared" ref="J27:L27" si="10">J8/J6</f>
        <v>0.48515106284420201</v>
      </c>
      <c r="K27" s="76">
        <f t="shared" ref="K27" si="11">K8/K6</f>
        <v>0.49662191054477034</v>
      </c>
      <c r="L27" s="23">
        <f t="shared" si="10"/>
        <v>0.48450691473710422</v>
      </c>
      <c r="O27" s="23">
        <f t="shared" ref="O27:T27" si="12">O8/O6</f>
        <v>0.48917475932231891</v>
      </c>
      <c r="P27" s="23">
        <f t="shared" si="12"/>
        <v>0.48446890618080601</v>
      </c>
      <c r="Q27" s="23">
        <f t="shared" si="12"/>
        <v>0.47549705371147571</v>
      </c>
      <c r="R27" s="23">
        <f t="shared" si="12"/>
        <v>0.47044576814819666</v>
      </c>
      <c r="S27" s="23">
        <f t="shared" si="12"/>
        <v>0.48021014058015665</v>
      </c>
      <c r="T27" s="23">
        <f t="shared" si="12"/>
        <v>0.49141655961695668</v>
      </c>
    </row>
    <row r="28" spans="2:20" x14ac:dyDescent="0.15">
      <c r="B28" s="1" t="s">
        <v>70</v>
      </c>
      <c r="J28" s="23">
        <f t="shared" ref="J28:L28" si="13">J13/J6</f>
        <v>0.10211539451335638</v>
      </c>
      <c r="K28" s="76">
        <f t="shared" ref="K28" si="14">K13/K6</f>
        <v>6.9357735397246184E-2</v>
      </c>
      <c r="L28" s="23">
        <f t="shared" si="13"/>
        <v>7.5349131979810399E-2</v>
      </c>
      <c r="O28" s="23">
        <f t="shared" ref="O28:T28" si="15">O13/O6</f>
        <v>0.10081136755370579</v>
      </c>
      <c r="P28" s="23">
        <f t="shared" si="15"/>
        <v>9.3597773138482998E-2</v>
      </c>
      <c r="Q28" s="23">
        <f t="shared" si="15"/>
        <v>7.3381660943660193E-2</v>
      </c>
      <c r="R28" s="23">
        <f t="shared" si="15"/>
        <v>6.9810826732997322E-2</v>
      </c>
      <c r="S28" s="23">
        <f t="shared" si="15"/>
        <v>6.2426021111345369E-2</v>
      </c>
      <c r="T28" s="23">
        <f t="shared" si="15"/>
        <v>8.422281910545372E-2</v>
      </c>
    </row>
    <row r="29" spans="2:20" x14ac:dyDescent="0.15">
      <c r="B29" s="1" t="s">
        <v>71</v>
      </c>
      <c r="J29" s="23">
        <f t="shared" ref="J29:L29" si="16">J18/J6</f>
        <v>7.1233722785526851E-2</v>
      </c>
      <c r="K29" s="76">
        <f t="shared" ref="K29" si="17">K18/K6</f>
        <v>3.9083212178226259E-2</v>
      </c>
      <c r="L29" s="23">
        <f t="shared" si="16"/>
        <v>4.8957696747470719E-2</v>
      </c>
      <c r="O29" s="23">
        <f t="shared" ref="O29:T29" si="18">O18/O6</f>
        <v>7.7605414722327307E-2</v>
      </c>
      <c r="P29" s="23">
        <f t="shared" si="18"/>
        <v>7.4776997532738712E-2</v>
      </c>
      <c r="Q29" s="23">
        <f t="shared" si="18"/>
        <v>5.6000678282250207E-2</v>
      </c>
      <c r="R29" s="23">
        <f t="shared" si="18"/>
        <v>4.1025724945997259E-2</v>
      </c>
      <c r="S29" s="23">
        <f t="shared" si="18"/>
        <v>3.7163750749923022E-2</v>
      </c>
      <c r="T29" s="23">
        <f t="shared" si="18"/>
        <v>5.3672778231928078E-2</v>
      </c>
    </row>
    <row r="30" spans="2:20" x14ac:dyDescent="0.15">
      <c r="B30" s="1" t="s">
        <v>72</v>
      </c>
      <c r="J30" s="23">
        <f t="shared" ref="J30:L30" si="19">J17/J16</f>
        <v>0.24081184860120664</v>
      </c>
      <c r="K30" s="76">
        <f t="shared" ref="K30" si="20">K17/K16</f>
        <v>0.36987245777318184</v>
      </c>
      <c r="L30" s="23">
        <f t="shared" si="19"/>
        <v>0.27489104927924868</v>
      </c>
      <c r="O30" s="23">
        <f t="shared" ref="O30:T30" si="21">O17/O16</f>
        <v>0.22567114093959736</v>
      </c>
      <c r="P30" s="23">
        <f t="shared" si="21"/>
        <v>0.19728353140916796</v>
      </c>
      <c r="Q30" s="23">
        <f t="shared" si="21"/>
        <v>0.22271256251838775</v>
      </c>
      <c r="R30" s="23">
        <f t="shared" si="21"/>
        <v>0.28063127690100426</v>
      </c>
      <c r="S30" s="23">
        <f t="shared" si="21"/>
        <v>0.29259259259259235</v>
      </c>
      <c r="T30" s="23">
        <f t="shared" si="21"/>
        <v>0.29799908354971733</v>
      </c>
    </row>
    <row r="32" spans="2:20" x14ac:dyDescent="0.15">
      <c r="B32" s="26" t="s">
        <v>122</v>
      </c>
    </row>
    <row r="33" spans="2:20" x14ac:dyDescent="0.15">
      <c r="B33" s="26"/>
    </row>
    <row r="36" spans="2:20" x14ac:dyDescent="0.15">
      <c r="B36" s="26" t="s">
        <v>74</v>
      </c>
    </row>
    <row r="37" spans="2:20" x14ac:dyDescent="0.15">
      <c r="B37" s="1" t="s">
        <v>83</v>
      </c>
      <c r="J37" s="4">
        <v>1208.5</v>
      </c>
      <c r="K37" s="74">
        <f>T37</f>
        <v>1473.6</v>
      </c>
      <c r="L37" s="4">
        <v>1614.8</v>
      </c>
      <c r="S37" s="4">
        <v>819.7</v>
      </c>
      <c r="T37" s="4">
        <v>1473.6</v>
      </c>
    </row>
    <row r="38" spans="2:20" x14ac:dyDescent="0.15">
      <c r="B38" s="1" t="s">
        <v>84</v>
      </c>
      <c r="J38" s="4">
        <v>627.29999999999995</v>
      </c>
      <c r="K38" s="74">
        <f t="shared" ref="K38:K49" si="22">T38</f>
        <v>688.5</v>
      </c>
      <c r="L38" s="4">
        <v>776</v>
      </c>
      <c r="S38" s="4">
        <v>564</v>
      </c>
      <c r="T38" s="4">
        <v>688.5</v>
      </c>
    </row>
    <row r="39" spans="2:20" x14ac:dyDescent="0.15">
      <c r="B39" s="1" t="s">
        <v>85</v>
      </c>
      <c r="J39" s="4">
        <v>1963.5</v>
      </c>
      <c r="K39" s="74">
        <f t="shared" si="22"/>
        <v>2032.6</v>
      </c>
      <c r="L39" s="4">
        <v>2075.1</v>
      </c>
      <c r="S39" s="4">
        <v>1752.4</v>
      </c>
      <c r="T39" s="4">
        <v>2032.6</v>
      </c>
    </row>
    <row r="40" spans="2:20" x14ac:dyDescent="0.15">
      <c r="B40" s="1" t="s">
        <v>86</v>
      </c>
      <c r="J40" s="4">
        <v>59</v>
      </c>
      <c r="K40" s="74">
        <f t="shared" si="22"/>
        <v>56.2</v>
      </c>
      <c r="L40" s="4">
        <v>42.1</v>
      </c>
      <c r="S40" s="4">
        <v>2.7</v>
      </c>
      <c r="T40" s="4">
        <v>56.2</v>
      </c>
    </row>
    <row r="41" spans="2:20" x14ac:dyDescent="0.15">
      <c r="B41" s="1" t="s">
        <v>87</v>
      </c>
      <c r="J41" s="4">
        <v>56.8</v>
      </c>
      <c r="K41" s="74">
        <f t="shared" si="22"/>
        <v>59.5</v>
      </c>
      <c r="L41" s="4">
        <f>4.4+3.9+62</f>
        <v>70.3</v>
      </c>
      <c r="S41" s="4">
        <v>63.2</v>
      </c>
      <c r="T41" s="4">
        <v>59.5</v>
      </c>
    </row>
    <row r="42" spans="2:20" x14ac:dyDescent="0.15">
      <c r="B42" s="1" t="s">
        <v>88</v>
      </c>
      <c r="J42" s="4">
        <v>21</v>
      </c>
      <c r="K42" s="74">
        <f t="shared" si="22"/>
        <v>81.7</v>
      </c>
      <c r="L42" s="4">
        <v>69.900000000000006</v>
      </c>
      <c r="S42" s="4">
        <v>40.6</v>
      </c>
      <c r="T42" s="4">
        <v>81.7</v>
      </c>
    </row>
    <row r="43" spans="2:20" x14ac:dyDescent="0.15">
      <c r="B43" s="1" t="s">
        <v>89</v>
      </c>
      <c r="J43" s="4">
        <f>SUM(J37:J42)</f>
        <v>3936.1000000000004</v>
      </c>
      <c r="K43" s="74">
        <f>SUM(K37:K42)</f>
        <v>4392.0999999999995</v>
      </c>
      <c r="L43" s="4">
        <f>SUM(L37:L42)</f>
        <v>4648.2</v>
      </c>
      <c r="S43" s="4">
        <f>SUM(S37:S42)</f>
        <v>3242.6</v>
      </c>
      <c r="T43" s="4">
        <f>SUM(T37:T42)</f>
        <v>4392.0999999999995</v>
      </c>
    </row>
    <row r="44" spans="2:20" s="2" customFormat="1" x14ac:dyDescent="0.15">
      <c r="B44" s="2" t="s">
        <v>90</v>
      </c>
      <c r="E44" s="34"/>
      <c r="G44" s="34"/>
      <c r="I44" s="34"/>
      <c r="J44" s="2">
        <v>996.7</v>
      </c>
      <c r="K44" s="73">
        <f t="shared" si="22"/>
        <v>989.4</v>
      </c>
      <c r="L44" s="22">
        <v>1428.5</v>
      </c>
      <c r="S44" s="22">
        <v>813.7</v>
      </c>
      <c r="T44" s="22">
        <v>989.4</v>
      </c>
    </row>
    <row r="45" spans="2:20" x14ac:dyDescent="0.15">
      <c r="B45" s="1" t="s">
        <v>91</v>
      </c>
      <c r="J45" s="1">
        <v>0</v>
      </c>
      <c r="K45" s="74">
        <f t="shared" si="22"/>
        <v>12.5</v>
      </c>
      <c r="L45" s="4">
        <v>17.3</v>
      </c>
      <c r="S45" s="4">
        <v>0</v>
      </c>
      <c r="T45" s="4">
        <v>12.5</v>
      </c>
    </row>
    <row r="46" spans="2:20" x14ac:dyDescent="0.15">
      <c r="B46" s="1" t="s">
        <v>92</v>
      </c>
      <c r="J46" s="1">
        <v>214.7</v>
      </c>
      <c r="K46" s="74">
        <f t="shared" si="22"/>
        <v>202.9</v>
      </c>
      <c r="L46" s="4">
        <v>314.7</v>
      </c>
      <c r="S46" s="4">
        <v>141.19999999999999</v>
      </c>
      <c r="T46" s="4">
        <v>202.9</v>
      </c>
    </row>
    <row r="47" spans="2:20" x14ac:dyDescent="0.15">
      <c r="B47" s="1" t="s">
        <v>93</v>
      </c>
      <c r="J47" s="1">
        <v>0</v>
      </c>
      <c r="K47" s="74">
        <f t="shared" si="22"/>
        <v>0.6</v>
      </c>
      <c r="L47" s="4">
        <v>0</v>
      </c>
      <c r="S47" s="4">
        <v>0</v>
      </c>
      <c r="T47" s="4">
        <v>0.6</v>
      </c>
    </row>
    <row r="48" spans="2:20" x14ac:dyDescent="0.15">
      <c r="B48" s="1" t="s">
        <v>94</v>
      </c>
      <c r="J48" s="1">
        <v>0</v>
      </c>
      <c r="K48" s="74">
        <f t="shared" si="22"/>
        <v>157.1</v>
      </c>
      <c r="L48" s="4">
        <v>165.7</v>
      </c>
      <c r="S48" s="4">
        <v>0</v>
      </c>
      <c r="T48" s="4">
        <v>157.1</v>
      </c>
    </row>
    <row r="49" spans="2:20" s="2" customFormat="1" x14ac:dyDescent="0.15">
      <c r="B49" s="2" t="s">
        <v>6</v>
      </c>
      <c r="E49" s="34"/>
      <c r="G49" s="34"/>
      <c r="I49" s="34"/>
      <c r="J49" s="2">
        <v>1304.7</v>
      </c>
      <c r="K49" s="73">
        <f t="shared" si="22"/>
        <v>1314</v>
      </c>
      <c r="L49" s="22">
        <v>1137.9000000000001</v>
      </c>
      <c r="S49" s="22">
        <v>964.4</v>
      </c>
      <c r="T49" s="22">
        <v>1314</v>
      </c>
    </row>
    <row r="50" spans="2:20" x14ac:dyDescent="0.15">
      <c r="B50" s="1" t="s">
        <v>95</v>
      </c>
      <c r="J50" s="4">
        <f>J43+J44+J45+J46+J47+J48+J49</f>
        <v>6452.2</v>
      </c>
      <c r="K50" s="74">
        <f>K43+K44+K45+K46+K47+K48+K49</f>
        <v>7068.5999999999995</v>
      </c>
      <c r="L50" s="4">
        <f>L43+L44+L45+L46+L47+L48+L49</f>
        <v>7712.2999999999993</v>
      </c>
      <c r="S50" s="4">
        <f>S43+S44+S45+S46+S47+S48+S49</f>
        <v>5161.8999999999996</v>
      </c>
      <c r="T50" s="4">
        <f>T43+T44+T45+T46+T47+T48+T49</f>
        <v>7068.5999999999995</v>
      </c>
    </row>
    <row r="51" spans="2:20" x14ac:dyDescent="0.15">
      <c r="S51" s="4"/>
      <c r="T51" s="4"/>
    </row>
    <row r="52" spans="2:20" s="2" customFormat="1" x14ac:dyDescent="0.15">
      <c r="B52" s="2" t="s">
        <v>96</v>
      </c>
      <c r="E52" s="34"/>
      <c r="G52" s="34"/>
      <c r="I52" s="34"/>
      <c r="J52" s="22">
        <v>275.3</v>
      </c>
      <c r="K52" s="73">
        <f t="shared" ref="K52" si="23">T52</f>
        <v>72.599999999999994</v>
      </c>
      <c r="L52" s="22">
        <v>83</v>
      </c>
      <c r="S52" s="22">
        <v>120.9</v>
      </c>
      <c r="T52" s="22">
        <v>72.599999999999994</v>
      </c>
    </row>
    <row r="53" spans="2:20" x14ac:dyDescent="0.15">
      <c r="B53" s="1" t="s">
        <v>97</v>
      </c>
      <c r="J53" s="4">
        <v>291.60000000000002</v>
      </c>
      <c r="K53" s="74">
        <f t="shared" ref="K53:K57" si="24">T53</f>
        <v>379</v>
      </c>
      <c r="L53" s="4">
        <v>395.8</v>
      </c>
      <c r="S53" s="4">
        <v>301.8</v>
      </c>
      <c r="T53" s="4">
        <v>379</v>
      </c>
    </row>
    <row r="54" spans="2:20" x14ac:dyDescent="0.15">
      <c r="B54" s="1" t="s">
        <v>98</v>
      </c>
      <c r="J54" s="4">
        <v>1243.7</v>
      </c>
      <c r="K54" s="74">
        <f t="shared" si="24"/>
        <v>1279.5</v>
      </c>
      <c r="L54" s="4">
        <v>1406.9</v>
      </c>
      <c r="S54" s="4">
        <v>1102</v>
      </c>
      <c r="T54" s="4">
        <v>1279.5</v>
      </c>
    </row>
    <row r="55" spans="2:20" x14ac:dyDescent="0.15">
      <c r="B55" s="1" t="s">
        <v>99</v>
      </c>
      <c r="J55" s="4">
        <v>0</v>
      </c>
      <c r="K55" s="74">
        <f t="shared" si="24"/>
        <v>142.6</v>
      </c>
      <c r="L55" s="4">
        <v>139.19999999999999</v>
      </c>
      <c r="S55" s="4">
        <v>0</v>
      </c>
      <c r="T55" s="4">
        <v>142.6</v>
      </c>
    </row>
    <row r="56" spans="2:20" x14ac:dyDescent="0.15">
      <c r="B56" s="1" t="s">
        <v>100</v>
      </c>
      <c r="J56" s="4">
        <v>0.6</v>
      </c>
      <c r="K56" s="74">
        <f t="shared" si="24"/>
        <v>13.2</v>
      </c>
      <c r="L56" s="4">
        <v>13</v>
      </c>
      <c r="S56" s="4">
        <v>0.7</v>
      </c>
      <c r="T56" s="4">
        <v>13.2</v>
      </c>
    </row>
    <row r="57" spans="2:20" x14ac:dyDescent="0.15">
      <c r="B57" s="1" t="s">
        <v>101</v>
      </c>
      <c r="J57" s="4">
        <v>5.2</v>
      </c>
      <c r="K57" s="74">
        <f t="shared" si="24"/>
        <v>0</v>
      </c>
      <c r="L57" s="4">
        <v>4.3</v>
      </c>
      <c r="S57" s="4">
        <v>29.5</v>
      </c>
      <c r="T57" s="4">
        <v>0</v>
      </c>
    </row>
    <row r="58" spans="2:20" x14ac:dyDescent="0.15">
      <c r="B58" s="1" t="s">
        <v>102</v>
      </c>
      <c r="J58" s="4">
        <f>SUM(J52:J57)</f>
        <v>1816.4</v>
      </c>
      <c r="K58" s="74">
        <f>SUM(K52:K57)</f>
        <v>1886.8999999999999</v>
      </c>
      <c r="L58" s="4">
        <f>SUM(L52:L57)</f>
        <v>2042.2</v>
      </c>
      <c r="S58" s="4">
        <f>SUM(S52:S57)</f>
        <v>1554.9</v>
      </c>
      <c r="T58" s="4">
        <f>SUM(T52:T57)</f>
        <v>1886.8999999999999</v>
      </c>
    </row>
    <row r="59" spans="2:20" s="2" customFormat="1" x14ac:dyDescent="0.15">
      <c r="B59" s="2" t="s">
        <v>96</v>
      </c>
      <c r="E59" s="34"/>
      <c r="G59" s="34"/>
      <c r="I59" s="34"/>
      <c r="J59" s="22">
        <v>34.299999999999997</v>
      </c>
      <c r="K59" s="73">
        <f t="shared" ref="K59" si="25">T59</f>
        <v>55.5</v>
      </c>
      <c r="L59" s="22">
        <v>41.8</v>
      </c>
      <c r="S59" s="22">
        <v>48.1</v>
      </c>
      <c r="T59" s="22">
        <v>55.5</v>
      </c>
    </row>
    <row r="60" spans="2:20" x14ac:dyDescent="0.15">
      <c r="B60" s="1" t="s">
        <v>97</v>
      </c>
      <c r="J60" s="4">
        <v>1863.4</v>
      </c>
      <c r="K60" s="74">
        <f t="shared" ref="K60:K63" si="26">T60</f>
        <v>1863.9</v>
      </c>
      <c r="L60" s="4">
        <v>1903.4</v>
      </c>
      <c r="S60" s="4">
        <v>1628</v>
      </c>
      <c r="T60" s="4">
        <v>1863.9</v>
      </c>
    </row>
    <row r="61" spans="2:20" x14ac:dyDescent="0.15">
      <c r="B61" s="1" t="s">
        <v>103</v>
      </c>
      <c r="J61" s="4">
        <v>493.8</v>
      </c>
      <c r="K61" s="74">
        <f t="shared" si="26"/>
        <v>775.4</v>
      </c>
      <c r="L61" s="4">
        <v>916.4</v>
      </c>
      <c r="S61" s="4">
        <v>374.4</v>
      </c>
      <c r="T61" s="4">
        <v>775.4</v>
      </c>
    </row>
    <row r="62" spans="2:20" x14ac:dyDescent="0.15">
      <c r="B62" s="1" t="s">
        <v>100</v>
      </c>
      <c r="J62" s="4">
        <v>4.5999999999999996</v>
      </c>
      <c r="K62" s="74">
        <f t="shared" si="26"/>
        <v>19.899999999999999</v>
      </c>
      <c r="L62" s="4">
        <v>22.7</v>
      </c>
      <c r="S62" s="4">
        <v>5.0999999999999996</v>
      </c>
      <c r="T62" s="4">
        <v>19.899999999999999</v>
      </c>
    </row>
    <row r="63" spans="2:20" x14ac:dyDescent="0.15">
      <c r="B63" s="1" t="s">
        <v>104</v>
      </c>
      <c r="J63" s="4">
        <v>62</v>
      </c>
      <c r="K63" s="74">
        <f t="shared" si="26"/>
        <v>127.4</v>
      </c>
      <c r="L63" s="4">
        <v>124.6</v>
      </c>
      <c r="S63" s="4">
        <v>55</v>
      </c>
      <c r="T63" s="4">
        <v>127.4</v>
      </c>
    </row>
    <row r="64" spans="2:20" x14ac:dyDescent="0.15">
      <c r="B64" s="1" t="s">
        <v>105</v>
      </c>
      <c r="J64" s="4">
        <f>J58+J59+J60+J61+J62+J63</f>
        <v>4274.5000000000009</v>
      </c>
      <c r="K64" s="74">
        <f>K58+K59+K60+K61+K62+K63</f>
        <v>4728.9999999999991</v>
      </c>
      <c r="L64" s="4">
        <f>L58+L59+L60+L61+L62+L63</f>
        <v>5051.1000000000004</v>
      </c>
      <c r="S64" s="4">
        <f>S58+S59+S60+S61+S62+S63</f>
        <v>3665.5</v>
      </c>
      <c r="T64" s="4">
        <f>T58+T59+T60+T61+T62+T63</f>
        <v>4728.9999999999991</v>
      </c>
    </row>
    <row r="65" spans="2:20" x14ac:dyDescent="0.15">
      <c r="S65" s="4"/>
      <c r="T65" s="4"/>
    </row>
    <row r="66" spans="2:20" x14ac:dyDescent="0.15">
      <c r="B66" s="1" t="s">
        <v>106</v>
      </c>
      <c r="J66" s="4">
        <v>2177.6999999999998</v>
      </c>
      <c r="K66" s="74">
        <f>T66</f>
        <v>2339.6</v>
      </c>
      <c r="L66" s="4">
        <v>2661.2</v>
      </c>
      <c r="S66" s="4">
        <v>1496.4</v>
      </c>
      <c r="T66" s="4">
        <v>2339.6</v>
      </c>
    </row>
    <row r="67" spans="2:20" x14ac:dyDescent="0.15">
      <c r="B67" s="1" t="s">
        <v>107</v>
      </c>
      <c r="J67" s="4">
        <f>J64+J66</f>
        <v>6452.2000000000007</v>
      </c>
      <c r="K67" s="74">
        <f>K64+K66</f>
        <v>7068.5999999999985</v>
      </c>
      <c r="L67" s="4">
        <f>L64+L66</f>
        <v>7712.3</v>
      </c>
      <c r="S67" s="4">
        <f>S64+S66</f>
        <v>5161.8999999999996</v>
      </c>
      <c r="T67" s="4">
        <f>T64+T66</f>
        <v>7068.5999999999985</v>
      </c>
    </row>
    <row r="69" spans="2:20" x14ac:dyDescent="0.15">
      <c r="B69" s="1" t="s">
        <v>117</v>
      </c>
      <c r="J69" s="4">
        <f>J50-J64</f>
        <v>2177.6999999999989</v>
      </c>
      <c r="K69" s="74">
        <f>K50-K64</f>
        <v>2339.6000000000004</v>
      </c>
      <c r="L69" s="4">
        <f>L50-L64</f>
        <v>2661.1999999999989</v>
      </c>
      <c r="S69" s="4">
        <f t="shared" ref="S69:T69" si="27">S50-S64</f>
        <v>1496.3999999999996</v>
      </c>
      <c r="T69" s="4">
        <f>T50-T64</f>
        <v>2339.6000000000004</v>
      </c>
    </row>
    <row r="70" spans="2:20" x14ac:dyDescent="0.15">
      <c r="B70" s="1" t="s">
        <v>118</v>
      </c>
      <c r="J70" s="42">
        <f>J69/+J20</f>
        <v>0.42218741569780055</v>
      </c>
      <c r="K70" s="71">
        <f>K69/+K20</f>
        <v>0.45357472460236709</v>
      </c>
      <c r="L70" s="42">
        <f>L69/+L20</f>
        <v>0.51592283172842301</v>
      </c>
      <c r="S70" s="42">
        <f>S69/+S20</f>
        <v>0.30751110042325308</v>
      </c>
      <c r="T70" s="42">
        <f>T69/+T20</f>
        <v>0.45357472460236709</v>
      </c>
    </row>
    <row r="72" spans="2:20" s="2" customFormat="1" x14ac:dyDescent="0.15">
      <c r="B72" s="2" t="s">
        <v>121</v>
      </c>
      <c r="E72" s="34"/>
      <c r="G72" s="34"/>
      <c r="I72" s="34"/>
      <c r="K72" s="34"/>
      <c r="L72" s="25">
        <f>L44/J44-1</f>
        <v>0.43322965787097423</v>
      </c>
      <c r="T72" s="25">
        <f>T44/S44-1</f>
        <v>0.21592724591372736</v>
      </c>
    </row>
    <row r="73" spans="2:20" x14ac:dyDescent="0.15">
      <c r="B73" s="1" t="s">
        <v>157</v>
      </c>
      <c r="K73" s="76">
        <f>K44/J44-1</f>
        <v>-7.3241697602087763E-3</v>
      </c>
      <c r="L73" s="23">
        <f>L44/K44-1</f>
        <v>0.44380432585405294</v>
      </c>
      <c r="T73" s="23"/>
    </row>
    <row r="75" spans="2:20" x14ac:dyDescent="0.15">
      <c r="B75" s="1" t="s">
        <v>156</v>
      </c>
      <c r="L75" s="23">
        <f t="shared" ref="L75" si="28">L44/L6</f>
        <v>0.32332903284217196</v>
      </c>
      <c r="S75" s="23">
        <f t="shared" ref="S75" si="29">S44/S6</f>
        <v>0.1319378009826018</v>
      </c>
      <c r="T75" s="23">
        <f>T44/T6</f>
        <v>0.11554361789092607</v>
      </c>
    </row>
    <row r="77" spans="2:20" s="61" customFormat="1" x14ac:dyDescent="0.15">
      <c r="B77" s="61" t="s">
        <v>6</v>
      </c>
      <c r="E77" s="62"/>
      <c r="G77" s="62"/>
      <c r="I77" s="62"/>
      <c r="J77" s="63">
        <f>J49</f>
        <v>1304.7</v>
      </c>
      <c r="K77" s="77">
        <f>K49</f>
        <v>1314</v>
      </c>
      <c r="L77" s="63">
        <f>L49</f>
        <v>1137.9000000000001</v>
      </c>
      <c r="S77" s="63">
        <f t="shared" ref="S77:T77" si="30">S49</f>
        <v>964.4</v>
      </c>
      <c r="T77" s="63">
        <f t="shared" si="30"/>
        <v>1314</v>
      </c>
    </row>
    <row r="78" spans="2:20" s="61" customFormat="1" x14ac:dyDescent="0.15">
      <c r="B78" s="61" t="s">
        <v>7</v>
      </c>
      <c r="E78" s="62"/>
      <c r="G78" s="62"/>
      <c r="I78" s="62"/>
      <c r="J78" s="63">
        <f>J52+J59</f>
        <v>309.60000000000002</v>
      </c>
      <c r="K78" s="77">
        <f>K52+K59</f>
        <v>128.1</v>
      </c>
      <c r="L78" s="63">
        <f>L52+L59</f>
        <v>124.8</v>
      </c>
      <c r="S78" s="63">
        <f t="shared" ref="S78:T78" si="31">S52+S59</f>
        <v>169</v>
      </c>
      <c r="T78" s="63">
        <f t="shared" si="31"/>
        <v>128.1</v>
      </c>
    </row>
    <row r="79" spans="2:20" x14ac:dyDescent="0.15">
      <c r="B79" s="1" t="s">
        <v>8</v>
      </c>
      <c r="J79" s="4">
        <f>J77-J78</f>
        <v>995.1</v>
      </c>
      <c r="K79" s="74">
        <f>K77-K78</f>
        <v>1185.9000000000001</v>
      </c>
      <c r="L79" s="4">
        <f>L77-L78</f>
        <v>1013.1000000000001</v>
      </c>
      <c r="S79" s="4">
        <f t="shared" ref="S79:T79" si="32">S77-S78</f>
        <v>795.4</v>
      </c>
      <c r="T79" s="4">
        <f t="shared" si="32"/>
        <v>1185.9000000000001</v>
      </c>
    </row>
    <row r="81" spans="2:20" x14ac:dyDescent="0.15">
      <c r="B81" s="1" t="s">
        <v>158</v>
      </c>
      <c r="F81" s="72">
        <v>5.9999999999999995E-4</v>
      </c>
      <c r="G81" s="71"/>
      <c r="H81" s="42">
        <v>0</v>
      </c>
      <c r="I81" s="71"/>
      <c r="J81" s="42">
        <v>0</v>
      </c>
      <c r="L81" s="1">
        <v>1.2999999999999999E-3</v>
      </c>
    </row>
    <row r="83" spans="2:20" x14ac:dyDescent="0.15">
      <c r="B83" s="1" t="s">
        <v>161</v>
      </c>
    </row>
    <row r="84" spans="2:20" x14ac:dyDescent="0.15">
      <c r="B84" s="1" t="s">
        <v>5</v>
      </c>
      <c r="L84" s="4"/>
    </row>
    <row r="85" spans="2:20" x14ac:dyDescent="0.15">
      <c r="B85" s="1" t="s">
        <v>9</v>
      </c>
    </row>
    <row r="87" spans="2:20" x14ac:dyDescent="0.15">
      <c r="B87" s="1" t="s">
        <v>115</v>
      </c>
    </row>
    <row r="88" spans="2:20" x14ac:dyDescent="0.15">
      <c r="B88" s="1" t="s">
        <v>162</v>
      </c>
    </row>
    <row r="89" spans="2:20" x14ac:dyDescent="0.15">
      <c r="B89" s="1" t="s">
        <v>163</v>
      </c>
    </row>
    <row r="90" spans="2:20" x14ac:dyDescent="0.15">
      <c r="B90" s="1" t="s">
        <v>113</v>
      </c>
    </row>
    <row r="91" spans="2:20" x14ac:dyDescent="0.15">
      <c r="B91" s="1" t="s">
        <v>112</v>
      </c>
    </row>
    <row r="92" spans="2:20" s="23" customFormat="1" x14ac:dyDescent="0.15">
      <c r="B92" s="23" t="s">
        <v>114</v>
      </c>
      <c r="E92" s="76"/>
      <c r="G92" s="76"/>
      <c r="I92" s="76"/>
      <c r="K92" s="76">
        <f>SUM(J13:K13)/K69</f>
        <v>0.30825782184988887</v>
      </c>
      <c r="L92" s="23">
        <f>SUM(K13:L13)/L69</f>
        <v>0.24699383736660172</v>
      </c>
      <c r="S92" s="23">
        <f t="shared" ref="S92:T92" si="33">S13/S69</f>
        <v>0.25728414862336296</v>
      </c>
      <c r="T92" s="23">
        <f>T13/T69</f>
        <v>0.30825782184988887</v>
      </c>
    </row>
  </sheetData>
  <hyperlinks>
    <hyperlink ref="T1" r:id="rId1" xr:uid="{E84D4D87-142B-4363-A6C7-A8072A7D8633}"/>
    <hyperlink ref="R1" r:id="rId2" xr:uid="{76702413-2453-4931-85C9-58D347A5760F}"/>
    <hyperlink ref="P1" r:id="rId3" xr:uid="{38BC363C-E84E-3947-B1CA-0449A3EB9868}"/>
    <hyperlink ref="L1" r:id="rId4" xr:uid="{E9569967-1E8F-4771-973F-EEA90F0F09F2}"/>
  </hyperlinks>
  <pageMargins left="0.7" right="0.7" top="0.75" bottom="0.75" header="0.3" footer="0.3"/>
  <pageSetup paperSize="256" orientation="portrait" horizontalDpi="203" verticalDpi="203" r:id="rId5"/>
  <ignoredErrors>
    <ignoredError sqref="K8 K16 K13 K43 K5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2022-07-18T16:30:09Z</dcterms:created>
  <dcterms:modified xsi:type="dcterms:W3CDTF">2022-11-23T20:17:09Z</dcterms:modified>
</cp:coreProperties>
</file>