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7C87AA06-4802-476F-8D4A-8075F5AD0704}" xr6:coauthVersionLast="36" xr6:coauthVersionMax="47" xr10:uidLastSave="{00000000-0000-0000-0000-000000000000}"/>
  <bookViews>
    <workbookView xWindow="-120" yWindow="-120" windowWidth="29040" windowHeight="15720" activeTab="1" xr2:uid="{DB6ABC51-E0DE-6747-8CA5-53C172A4844D}"/>
  </bookViews>
  <sheets>
    <sheet name="Main" sheetId="1" r:id="rId1"/>
    <sheet name="Financial Model" sheetId="2" r:id="rId2"/>
    <sheet name="Metrics" sheetId="3" r:id="rId3"/>
    <sheet name="Earnings Call Note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O5" i="2" l="1"/>
  <c r="AP5" i="2"/>
  <c r="AQ5" i="2"/>
  <c r="AR5" i="2"/>
  <c r="AD18" i="2"/>
  <c r="AC16" i="3"/>
  <c r="AC14" i="3"/>
  <c r="AC4" i="3"/>
  <c r="AC2" i="3"/>
  <c r="W21" i="3"/>
  <c r="W20" i="3"/>
  <c r="W19" i="3"/>
  <c r="W16" i="3"/>
  <c r="W15" i="3"/>
  <c r="W4" i="3"/>
  <c r="W3" i="3"/>
  <c r="C7" i="1"/>
  <c r="R124" i="2"/>
  <c r="R122" i="2"/>
  <c r="R114" i="2"/>
  <c r="R96" i="2"/>
  <c r="R36" i="2"/>
  <c r="R35" i="2"/>
  <c r="R78" i="2"/>
  <c r="R74" i="2"/>
  <c r="R70" i="2"/>
  <c r="C10" i="1" s="1"/>
  <c r="R69" i="2"/>
  <c r="C9" i="1" s="1"/>
  <c r="R49" i="2"/>
  <c r="R51" i="2" s="1"/>
  <c r="R66" i="2" s="1"/>
  <c r="R67" i="2" s="1"/>
  <c r="R61" i="2"/>
  <c r="R30" i="2"/>
  <c r="Q30" i="2"/>
  <c r="P30" i="2"/>
  <c r="O30" i="2"/>
  <c r="R31" i="2"/>
  <c r="R28" i="2"/>
  <c r="R27" i="2"/>
  <c r="R13" i="2"/>
  <c r="R11" i="2"/>
  <c r="R5" i="2"/>
  <c r="R22" i="2" s="1"/>
  <c r="G16" i="1" l="1"/>
  <c r="R77" i="2"/>
  <c r="R71" i="2"/>
  <c r="R75" i="2" s="1"/>
  <c r="R63" i="2"/>
  <c r="R64" i="2" s="1"/>
  <c r="R12" i="2"/>
  <c r="V12" i="3"/>
  <c r="V11" i="3"/>
  <c r="V8" i="3"/>
  <c r="V7" i="3"/>
  <c r="R79" i="2" l="1"/>
  <c r="R82" i="2"/>
  <c r="R16" i="2"/>
  <c r="R23" i="2"/>
  <c r="V21" i="3"/>
  <c r="V20" i="3"/>
  <c r="V19" i="3"/>
  <c r="V16" i="3"/>
  <c r="V15" i="3"/>
  <c r="U8" i="3"/>
  <c r="U7" i="3"/>
  <c r="U12" i="3"/>
  <c r="U11" i="3"/>
  <c r="V4" i="3"/>
  <c r="V3" i="3"/>
  <c r="Q124" i="2"/>
  <c r="Q122" i="2"/>
  <c r="Q114" i="2"/>
  <c r="Q96" i="2"/>
  <c r="R18" i="2" l="1"/>
  <c r="R25" i="2"/>
  <c r="Q74" i="2"/>
  <c r="Q78" i="2" s="1"/>
  <c r="Q70" i="2"/>
  <c r="Q69" i="2"/>
  <c r="Q71" i="2" s="1"/>
  <c r="Q61" i="2"/>
  <c r="Q64" i="2" s="1"/>
  <c r="Q49" i="2"/>
  <c r="Q51" i="2" s="1"/>
  <c r="Q66" i="2" s="1"/>
  <c r="Q67" i="2" s="1"/>
  <c r="Q77" i="2" s="1"/>
  <c r="Q36" i="2"/>
  <c r="Q35" i="2"/>
  <c r="Q31" i="2"/>
  <c r="Q28" i="2"/>
  <c r="Q27" i="2"/>
  <c r="Q13" i="2"/>
  <c r="Q11" i="2"/>
  <c r="Q5" i="2"/>
  <c r="Q22" i="2" s="1"/>
  <c r="R19" i="2" l="1"/>
  <c r="R85" i="2"/>
  <c r="R86" i="2" s="1"/>
  <c r="R107" i="2" s="1"/>
  <c r="R125" i="2" s="1"/>
  <c r="R24" i="2"/>
  <c r="Q75" i="2"/>
  <c r="Q12" i="2"/>
  <c r="U16" i="3"/>
  <c r="S16" i="3"/>
  <c r="Q79" i="2" l="1"/>
  <c r="Q82" i="2"/>
  <c r="Q16" i="2"/>
  <c r="Q23" i="2"/>
  <c r="U21" i="3"/>
  <c r="U20" i="3"/>
  <c r="U19" i="3"/>
  <c r="U15" i="3"/>
  <c r="U4" i="3"/>
  <c r="U3" i="3"/>
  <c r="P124" i="2"/>
  <c r="P122" i="2"/>
  <c r="P114" i="2"/>
  <c r="P96" i="2"/>
  <c r="P74" i="2"/>
  <c r="P78" i="2" s="1"/>
  <c r="P70" i="2"/>
  <c r="P69" i="2"/>
  <c r="P71" i="2" s="1"/>
  <c r="P61" i="2"/>
  <c r="P64" i="2" s="1"/>
  <c r="P49" i="2"/>
  <c r="P51" i="2" s="1"/>
  <c r="P66" i="2" s="1"/>
  <c r="P67" i="2" s="1"/>
  <c r="P77" i="2" s="1"/>
  <c r="P36" i="2"/>
  <c r="P35" i="2"/>
  <c r="P27" i="2"/>
  <c r="O27" i="2"/>
  <c r="P31" i="2"/>
  <c r="P13" i="2"/>
  <c r="P11" i="2"/>
  <c r="P5" i="2"/>
  <c r="P22" i="2" s="1"/>
  <c r="P28" i="2"/>
  <c r="T12" i="3"/>
  <c r="T11" i="3"/>
  <c r="T8" i="3"/>
  <c r="T7" i="3"/>
  <c r="Q18" i="2" l="1"/>
  <c r="Q25" i="2"/>
  <c r="P75" i="2"/>
  <c r="P12" i="2"/>
  <c r="N69" i="2"/>
  <c r="M69" i="2"/>
  <c r="L69" i="2"/>
  <c r="K69" i="2"/>
  <c r="I69" i="2"/>
  <c r="H69" i="2"/>
  <c r="G69" i="2"/>
  <c r="F69" i="2"/>
  <c r="O69" i="2"/>
  <c r="P82" i="2" l="1"/>
  <c r="P79" i="2"/>
  <c r="Q85" i="2"/>
  <c r="Q86" i="2" s="1"/>
  <c r="Q107" i="2" s="1"/>
  <c r="Q125" i="2" s="1"/>
  <c r="Q24" i="2"/>
  <c r="Q19" i="2"/>
  <c r="P16" i="2"/>
  <c r="P23" i="2"/>
  <c r="AD20" i="2"/>
  <c r="P18" i="2" l="1"/>
  <c r="P25" i="2"/>
  <c r="O124" i="2"/>
  <c r="O122" i="2"/>
  <c r="N114" i="2"/>
  <c r="M114" i="2"/>
  <c r="L114" i="2"/>
  <c r="O114" i="2"/>
  <c r="O96" i="2"/>
  <c r="O107" i="2" s="1"/>
  <c r="O125" i="2" s="1"/>
  <c r="O74" i="2"/>
  <c r="O78" i="2" s="1"/>
  <c r="G71" i="2"/>
  <c r="N70" i="2"/>
  <c r="M70" i="2"/>
  <c r="L70" i="2"/>
  <c r="L71" i="2" s="1"/>
  <c r="K70" i="2"/>
  <c r="K71" i="2" s="1"/>
  <c r="J70" i="2"/>
  <c r="I70" i="2"/>
  <c r="I71" i="2" s="1"/>
  <c r="H70" i="2"/>
  <c r="H71" i="2" s="1"/>
  <c r="G70" i="2"/>
  <c r="F70" i="2"/>
  <c r="F71" i="2" s="1"/>
  <c r="N71" i="2"/>
  <c r="M71" i="2"/>
  <c r="O71" i="2"/>
  <c r="O70" i="2"/>
  <c r="O61" i="2"/>
  <c r="O64" i="2" s="1"/>
  <c r="O49" i="2"/>
  <c r="O51" i="2" s="1"/>
  <c r="T15" i="3"/>
  <c r="S15" i="3"/>
  <c r="S12" i="3"/>
  <c r="S11" i="3"/>
  <c r="S8" i="3"/>
  <c r="S7" i="3"/>
  <c r="T21" i="3"/>
  <c r="T20" i="3"/>
  <c r="T19" i="3"/>
  <c r="T4" i="3"/>
  <c r="T3" i="3"/>
  <c r="O36" i="2"/>
  <c r="O35" i="2"/>
  <c r="O31" i="2"/>
  <c r="O13" i="2"/>
  <c r="O11" i="2"/>
  <c r="O5" i="2"/>
  <c r="O22" i="2" s="1"/>
  <c r="P85" i="2" l="1"/>
  <c r="P86" i="2" s="1"/>
  <c r="P107" i="2" s="1"/>
  <c r="P125" i="2" s="1"/>
  <c r="P24" i="2"/>
  <c r="P19" i="2"/>
  <c r="O66" i="2"/>
  <c r="O67" i="2" s="1"/>
  <c r="O77" i="2" s="1"/>
  <c r="O12" i="2"/>
  <c r="O75" i="2"/>
  <c r="O82" i="2" l="1"/>
  <c r="O79" i="2"/>
  <c r="O23" i="2"/>
  <c r="R81" i="2"/>
  <c r="O16" i="2"/>
  <c r="O18" i="2" l="1"/>
  <c r="O25" i="2"/>
  <c r="S4" i="3"/>
  <c r="S3" i="3"/>
  <c r="S21" i="3"/>
  <c r="S20" i="3"/>
  <c r="S19" i="3"/>
  <c r="O28" i="2"/>
  <c r="N124" i="2"/>
  <c r="N122" i="2"/>
  <c r="N96" i="2"/>
  <c r="N107" i="2" s="1"/>
  <c r="N74" i="2"/>
  <c r="N78" i="2" s="1"/>
  <c r="N61" i="2"/>
  <c r="N64" i="2" s="1"/>
  <c r="N49" i="2"/>
  <c r="N51" i="2" s="1"/>
  <c r="N66" i="2" s="1"/>
  <c r="N67" i="2" s="1"/>
  <c r="N77" i="2" s="1"/>
  <c r="AC34" i="2"/>
  <c r="AC20" i="2"/>
  <c r="N31" i="2"/>
  <c r="N30" i="2"/>
  <c r="N28" i="2"/>
  <c r="N27" i="2"/>
  <c r="N13" i="2"/>
  <c r="N5" i="2"/>
  <c r="N22" i="2" s="1"/>
  <c r="N125" i="2" l="1"/>
  <c r="O85" i="2"/>
  <c r="O24" i="2"/>
  <c r="O19" i="2"/>
  <c r="N75" i="2"/>
  <c r="AA3" i="2"/>
  <c r="AB3" i="2"/>
  <c r="AB28" i="2" s="1"/>
  <c r="AC3" i="2"/>
  <c r="AA4" i="2"/>
  <c r="AB4" i="2"/>
  <c r="AC4" i="2"/>
  <c r="AA6" i="2"/>
  <c r="AB6" i="2"/>
  <c r="AC6" i="2"/>
  <c r="AA7" i="2"/>
  <c r="AB7" i="2"/>
  <c r="AC7" i="2"/>
  <c r="AD7" i="2" s="1"/>
  <c r="AE7" i="2" s="1"/>
  <c r="AF7" i="2" s="1"/>
  <c r="AG7" i="2" s="1"/>
  <c r="AH7" i="2" s="1"/>
  <c r="AI7" i="2" s="1"/>
  <c r="AJ7" i="2" s="1"/>
  <c r="AK7" i="2" s="1"/>
  <c r="AL7" i="2" s="1"/>
  <c r="AM7" i="2" s="1"/>
  <c r="AN7" i="2" s="1"/>
  <c r="AO7" i="2" s="1"/>
  <c r="AP7" i="2" s="1"/>
  <c r="AQ7" i="2" s="1"/>
  <c r="AR7" i="2" s="1"/>
  <c r="AA8" i="2"/>
  <c r="AB8" i="2"/>
  <c r="AB31" i="2" s="1"/>
  <c r="AC8" i="2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A9" i="2"/>
  <c r="AB9" i="2"/>
  <c r="AC9" i="2"/>
  <c r="AD9" i="2" s="1"/>
  <c r="AE9" i="2" s="1"/>
  <c r="AF9" i="2" s="1"/>
  <c r="AG9" i="2" s="1"/>
  <c r="AH9" i="2" s="1"/>
  <c r="AI9" i="2" s="1"/>
  <c r="AJ9" i="2" s="1"/>
  <c r="AK9" i="2" s="1"/>
  <c r="AL9" i="2" s="1"/>
  <c r="AM9" i="2" s="1"/>
  <c r="AN9" i="2" s="1"/>
  <c r="AO9" i="2" s="1"/>
  <c r="AP9" i="2" s="1"/>
  <c r="AQ9" i="2" s="1"/>
  <c r="AR9" i="2" s="1"/>
  <c r="AA10" i="2"/>
  <c r="AB10" i="2"/>
  <c r="AC10" i="2"/>
  <c r="AD10" i="2" s="1"/>
  <c r="AE10" i="2" s="1"/>
  <c r="AF10" i="2" s="1"/>
  <c r="AG10" i="2" s="1"/>
  <c r="AH10" i="2" s="1"/>
  <c r="AI10" i="2" s="1"/>
  <c r="AJ10" i="2" s="1"/>
  <c r="AK10" i="2" s="1"/>
  <c r="AL10" i="2" s="1"/>
  <c r="AM10" i="2" s="1"/>
  <c r="AN10" i="2" s="1"/>
  <c r="AO10" i="2" s="1"/>
  <c r="AP10" i="2" s="1"/>
  <c r="AQ10" i="2" s="1"/>
  <c r="AR10" i="2" s="1"/>
  <c r="AA13" i="2"/>
  <c r="AB13" i="2"/>
  <c r="AB14" i="2"/>
  <c r="AC14" i="2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AN14" i="2" s="1"/>
  <c r="AO14" i="2" s="1"/>
  <c r="AP14" i="2" s="1"/>
  <c r="AQ14" i="2" s="1"/>
  <c r="AR14" i="2" s="1"/>
  <c r="AA15" i="2"/>
  <c r="AB15" i="2"/>
  <c r="AA17" i="2"/>
  <c r="AB17" i="2"/>
  <c r="AC17" i="2"/>
  <c r="AD17" i="2" s="1"/>
  <c r="AA20" i="2"/>
  <c r="AB20" i="2"/>
  <c r="AU27" i="2"/>
  <c r="AD3" i="2" l="1"/>
  <c r="AD5" i="2" s="1"/>
  <c r="AD22" i="2" s="1"/>
  <c r="N82" i="2"/>
  <c r="N79" i="2"/>
  <c r="G18" i="1"/>
  <c r="R80" i="2"/>
  <c r="AA11" i="2"/>
  <c r="AB11" i="2"/>
  <c r="AB5" i="2"/>
  <c r="AB12" i="2" s="1"/>
  <c r="AA5" i="2"/>
  <c r="AA12" i="2" s="1"/>
  <c r="AC11" i="2"/>
  <c r="AC12" i="2" s="1"/>
  <c r="AC23" i="2" s="1"/>
  <c r="AD6" i="2"/>
  <c r="AE6" i="2" s="1"/>
  <c r="AF6" i="2" s="1"/>
  <c r="AG6" i="2" s="1"/>
  <c r="AH6" i="2" s="1"/>
  <c r="AD28" i="2"/>
  <c r="AC5" i="2"/>
  <c r="AC22" i="2" s="1"/>
  <c r="AC28" i="2"/>
  <c r="AE17" i="2"/>
  <c r="AA22" i="2" l="1"/>
  <c r="AB22" i="2"/>
  <c r="AE3" i="2"/>
  <c r="AE28" i="2"/>
  <c r="AE5" i="2"/>
  <c r="AF3" i="2"/>
  <c r="AF5" i="2" s="1"/>
  <c r="AD11" i="2"/>
  <c r="AD12" i="2" s="1"/>
  <c r="AD23" i="2" s="1"/>
  <c r="AF11" i="2"/>
  <c r="AG11" i="2"/>
  <c r="AE11" i="2"/>
  <c r="AD4" i="2"/>
  <c r="AF17" i="2"/>
  <c r="AI6" i="2"/>
  <c r="AH11" i="2"/>
  <c r="AB16" i="2"/>
  <c r="AB23" i="2"/>
  <c r="AA23" i="2"/>
  <c r="AE12" i="2" l="1"/>
  <c r="AG3" i="2"/>
  <c r="AG28" i="2" s="1"/>
  <c r="AF28" i="2"/>
  <c r="AE4" i="2"/>
  <c r="AE22" i="2"/>
  <c r="AE23" i="2"/>
  <c r="AG17" i="2"/>
  <c r="AF22" i="2"/>
  <c r="AF12" i="2"/>
  <c r="AJ6" i="2"/>
  <c r="AI11" i="2"/>
  <c r="AF4" i="2"/>
  <c r="AB25" i="2"/>
  <c r="AB18" i="2"/>
  <c r="AH3" i="2" l="1"/>
  <c r="AH28" i="2" s="1"/>
  <c r="AG5" i="2"/>
  <c r="AG12" i="2" s="1"/>
  <c r="AF23" i="2"/>
  <c r="AB19" i="2"/>
  <c r="AB24" i="2"/>
  <c r="AJ11" i="2"/>
  <c r="AK6" i="2"/>
  <c r="AH17" i="2"/>
  <c r="AG4" i="2" l="1"/>
  <c r="AG22" i="2"/>
  <c r="AH5" i="2"/>
  <c r="AH12" i="2" s="1"/>
  <c r="AI3" i="2"/>
  <c r="AI28" i="2" s="1"/>
  <c r="AK11" i="2"/>
  <c r="AL6" i="2"/>
  <c r="AI17" i="2"/>
  <c r="AG23" i="2"/>
  <c r="AH4" i="2" l="1"/>
  <c r="AH22" i="2"/>
  <c r="AJ3" i="2"/>
  <c r="AJ28" i="2" s="1"/>
  <c r="AI5" i="2"/>
  <c r="AI4" i="2" s="1"/>
  <c r="AH23" i="2"/>
  <c r="AJ17" i="2"/>
  <c r="AL11" i="2"/>
  <c r="AM6" i="2"/>
  <c r="AI12" i="2" l="1"/>
  <c r="AI23" i="2" s="1"/>
  <c r="AI22" i="2"/>
  <c r="AK3" i="2"/>
  <c r="AK28" i="2" s="1"/>
  <c r="AJ5" i="2"/>
  <c r="AJ4" i="2" s="1"/>
  <c r="AM11" i="2"/>
  <c r="AN6" i="2"/>
  <c r="AK17" i="2"/>
  <c r="AJ12" i="2" l="1"/>
  <c r="AJ23" i="2" s="1"/>
  <c r="AJ22" i="2"/>
  <c r="AL3" i="2"/>
  <c r="AL28" i="2" s="1"/>
  <c r="AK5" i="2"/>
  <c r="AK12" i="2" s="1"/>
  <c r="AN11" i="2"/>
  <c r="AO6" i="2"/>
  <c r="AL17" i="2"/>
  <c r="AK22" i="2" l="1"/>
  <c r="AK4" i="2"/>
  <c r="AM3" i="2"/>
  <c r="AM28" i="2" s="1"/>
  <c r="AL5" i="2"/>
  <c r="AL4" i="2" s="1"/>
  <c r="AO11" i="2"/>
  <c r="AP6" i="2"/>
  <c r="AK23" i="2"/>
  <c r="AM17" i="2"/>
  <c r="AL12" i="2" l="1"/>
  <c r="AL23" i="2" s="1"/>
  <c r="AL22" i="2"/>
  <c r="AN3" i="2"/>
  <c r="AN28" i="2" s="1"/>
  <c r="AM5" i="2"/>
  <c r="AM4" i="2" s="1"/>
  <c r="AM22" i="2"/>
  <c r="AP11" i="2"/>
  <c r="AQ6" i="2"/>
  <c r="AN17" i="2"/>
  <c r="AM12" i="2" l="1"/>
  <c r="AM23" i="2" s="1"/>
  <c r="AO3" i="2"/>
  <c r="AO28" i="2" s="1"/>
  <c r="AN5" i="2"/>
  <c r="AN12" i="2" s="1"/>
  <c r="AO17" i="2"/>
  <c r="AR6" i="2"/>
  <c r="AR11" i="2" s="1"/>
  <c r="AQ11" i="2"/>
  <c r="AN4" i="2" l="1"/>
  <c r="AN22" i="2"/>
  <c r="AP3" i="2"/>
  <c r="AP28" i="2" s="1"/>
  <c r="AO4" i="2"/>
  <c r="AN23" i="2"/>
  <c r="AP17" i="2"/>
  <c r="AO12" i="2" l="1"/>
  <c r="AO23" i="2" s="1"/>
  <c r="AO22" i="2"/>
  <c r="AQ3" i="2"/>
  <c r="AQ28" i="2" s="1"/>
  <c r="AP12" i="2"/>
  <c r="AQ17" i="2"/>
  <c r="AP4" i="2" l="1"/>
  <c r="AP22" i="2"/>
  <c r="AR3" i="2"/>
  <c r="AP23" i="2"/>
  <c r="AR28" i="2"/>
  <c r="AR4" i="2"/>
  <c r="AQ12" i="2"/>
  <c r="AQ22" i="2"/>
  <c r="AQ4" i="2"/>
  <c r="AR17" i="2"/>
  <c r="AQ23" i="2" l="1"/>
  <c r="AR12" i="2"/>
  <c r="AR22" i="2"/>
  <c r="AR23" i="2" l="1"/>
  <c r="H124" i="2" l="1"/>
  <c r="I124" i="2"/>
  <c r="L124" i="2"/>
  <c r="M124" i="2"/>
  <c r="H122" i="2" l="1"/>
  <c r="H114" i="2"/>
  <c r="H96" i="2"/>
  <c r="H107" i="2" s="1"/>
  <c r="H125" i="2" s="1"/>
  <c r="L122" i="2"/>
  <c r="L96" i="2"/>
  <c r="L107" i="2" s="1"/>
  <c r="L125" i="2" s="1"/>
  <c r="I122" i="2" l="1"/>
  <c r="M122" i="2"/>
  <c r="I114" i="2"/>
  <c r="I96" i="2"/>
  <c r="I107" i="2" s="1"/>
  <c r="I125" i="2" s="1"/>
  <c r="M96" i="2"/>
  <c r="M107" i="2" s="1"/>
  <c r="M125" i="2" s="1"/>
  <c r="AL18" i="1" l="1"/>
  <c r="AL17" i="1"/>
  <c r="AL14" i="1"/>
  <c r="AL13" i="1"/>
  <c r="AL10" i="1"/>
  <c r="AL9" i="1"/>
  <c r="R12" i="3"/>
  <c r="R11" i="3"/>
  <c r="R8" i="3"/>
  <c r="R7" i="3"/>
  <c r="N35" i="2" l="1"/>
  <c r="G9" i="1"/>
  <c r="AL6" i="1"/>
  <c r="AL5" i="1"/>
  <c r="AE20" i="2" l="1"/>
  <c r="M74" i="2"/>
  <c r="M78" i="2" s="1"/>
  <c r="M61" i="2"/>
  <c r="M64" i="2" s="1"/>
  <c r="M49" i="2"/>
  <c r="M51" i="2" s="1"/>
  <c r="R16" i="3"/>
  <c r="R15" i="3"/>
  <c r="R21" i="3"/>
  <c r="R20" i="3"/>
  <c r="R19" i="3"/>
  <c r="R4" i="3"/>
  <c r="R3" i="3"/>
  <c r="M36" i="2"/>
  <c r="M35" i="2"/>
  <c r="M31" i="2"/>
  <c r="M30" i="2"/>
  <c r="M28" i="2"/>
  <c r="M27" i="2"/>
  <c r="M15" i="2"/>
  <c r="M11" i="2"/>
  <c r="M5" i="2"/>
  <c r="M22" i="2" s="1"/>
  <c r="AF20" i="2" l="1"/>
  <c r="M66" i="2"/>
  <c r="M67" i="2" s="1"/>
  <c r="M77" i="2" s="1"/>
  <c r="M12" i="2"/>
  <c r="M75" i="2"/>
  <c r="I74" i="2"/>
  <c r="I78" i="2" s="1"/>
  <c r="H74" i="2"/>
  <c r="H78" i="2" s="1"/>
  <c r="G74" i="2"/>
  <c r="G78" i="2" s="1"/>
  <c r="L74" i="2"/>
  <c r="K74" i="2"/>
  <c r="K78" i="2" s="1"/>
  <c r="J74" i="2"/>
  <c r="J78" i="2" s="1"/>
  <c r="M79" i="2" l="1"/>
  <c r="AG20" i="2"/>
  <c r="M23" i="2"/>
  <c r="M16" i="2"/>
  <c r="L78" i="2"/>
  <c r="K31" i="2"/>
  <c r="J31" i="2"/>
  <c r="I31" i="2"/>
  <c r="H31" i="2"/>
  <c r="G31" i="2"/>
  <c r="L31" i="2"/>
  <c r="K30" i="2"/>
  <c r="J30" i="2"/>
  <c r="I30" i="2"/>
  <c r="H30" i="2"/>
  <c r="G30" i="2"/>
  <c r="F30" i="2"/>
  <c r="E30" i="2"/>
  <c r="D30" i="2"/>
  <c r="L30" i="2"/>
  <c r="AH20" i="2" l="1"/>
  <c r="M18" i="2"/>
  <c r="M85" i="2" s="1"/>
  <c r="M25" i="2"/>
  <c r="AK10" i="1"/>
  <c r="AK9" i="1"/>
  <c r="AK14" i="1"/>
  <c r="AK13" i="1"/>
  <c r="Q16" i="3"/>
  <c r="Q12" i="3"/>
  <c r="Q11" i="3"/>
  <c r="Q8" i="3"/>
  <c r="Q7" i="3"/>
  <c r="AI20" i="2" l="1"/>
  <c r="M24" i="2"/>
  <c r="M19" i="2"/>
  <c r="V3" i="2"/>
  <c r="V27" i="2" s="1"/>
  <c r="AJ20" i="2" l="1"/>
  <c r="AK20" i="2" l="1"/>
  <c r="L75" i="2"/>
  <c r="K75" i="2"/>
  <c r="I75" i="2"/>
  <c r="G75" i="2"/>
  <c r="H75" i="2"/>
  <c r="F75" i="2"/>
  <c r="H79" i="2" l="1"/>
  <c r="G79" i="2"/>
  <c r="I79" i="2"/>
  <c r="L79" i="2"/>
  <c r="K79" i="2"/>
  <c r="AL20" i="2"/>
  <c r="AK18" i="1"/>
  <c r="V20" i="2"/>
  <c r="AK6" i="1"/>
  <c r="AK5" i="1"/>
  <c r="P21" i="3"/>
  <c r="O21" i="3"/>
  <c r="N21" i="3"/>
  <c r="M21" i="3"/>
  <c r="L21" i="3"/>
  <c r="K21" i="3"/>
  <c r="J21" i="3"/>
  <c r="I21" i="3"/>
  <c r="H21" i="3"/>
  <c r="G21" i="3"/>
  <c r="Q21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Q20" i="3"/>
  <c r="Q19" i="3"/>
  <c r="Q4" i="3"/>
  <c r="Q3" i="3"/>
  <c r="L61" i="2"/>
  <c r="L64" i="2" s="1"/>
  <c r="L49" i="2"/>
  <c r="L51" i="2" s="1"/>
  <c r="L36" i="2"/>
  <c r="L35" i="2"/>
  <c r="L28" i="2"/>
  <c r="L27" i="2"/>
  <c r="L5" i="2"/>
  <c r="L22" i="2" s="1"/>
  <c r="L13" i="2"/>
  <c r="AC13" i="2" s="1"/>
  <c r="AD13" i="2" s="1"/>
  <c r="L11" i="2"/>
  <c r="AE13" i="2" l="1"/>
  <c r="AM20" i="2"/>
  <c r="L12" i="2"/>
  <c r="L66" i="2"/>
  <c r="L67" i="2" s="1"/>
  <c r="K36" i="2"/>
  <c r="U34" i="2"/>
  <c r="L23" i="2" l="1"/>
  <c r="L16" i="2"/>
  <c r="L25" i="2" s="1"/>
  <c r="AF13" i="2"/>
  <c r="AN20" i="2"/>
  <c r="L77" i="2"/>
  <c r="U36" i="2"/>
  <c r="V34" i="2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P19" i="3"/>
  <c r="L18" i="2" l="1"/>
  <c r="L85" i="2" s="1"/>
  <c r="AG13" i="2"/>
  <c r="AO20" i="2"/>
  <c r="V36" i="2"/>
  <c r="T3" i="2"/>
  <c r="T27" i="2" s="1"/>
  <c r="T6" i="2"/>
  <c r="T7" i="2"/>
  <c r="T8" i="2"/>
  <c r="T9" i="2"/>
  <c r="T13" i="2"/>
  <c r="T14" i="2"/>
  <c r="T15" i="2"/>
  <c r="T17" i="2"/>
  <c r="D35" i="2"/>
  <c r="E35" i="2"/>
  <c r="H35" i="2"/>
  <c r="I35" i="2"/>
  <c r="G36" i="2"/>
  <c r="H36" i="2"/>
  <c r="F34" i="2"/>
  <c r="J34" i="2"/>
  <c r="M82" i="2" s="1"/>
  <c r="I36" i="2"/>
  <c r="L19" i="2" l="1"/>
  <c r="L24" i="2"/>
  <c r="F35" i="2"/>
  <c r="AA34" i="2"/>
  <c r="AB34" i="2"/>
  <c r="AC36" i="2" s="1"/>
  <c r="H82" i="2"/>
  <c r="I82" i="2"/>
  <c r="G82" i="2"/>
  <c r="J35" i="2"/>
  <c r="K82" i="2"/>
  <c r="L82" i="2"/>
  <c r="AH13" i="2"/>
  <c r="AP20" i="2"/>
  <c r="N36" i="2"/>
  <c r="T5" i="2"/>
  <c r="T28" i="2"/>
  <c r="T11" i="2"/>
  <c r="K35" i="2"/>
  <c r="J36" i="2"/>
  <c r="G35" i="2"/>
  <c r="AJ16" i="1"/>
  <c r="AJ14" i="1"/>
  <c r="AJ13" i="1"/>
  <c r="AJ10" i="1"/>
  <c r="AJ9" i="1"/>
  <c r="AJ6" i="1"/>
  <c r="AJ5" i="1"/>
  <c r="P12" i="3"/>
  <c r="P11" i="3"/>
  <c r="P8" i="3"/>
  <c r="P7" i="3"/>
  <c r="T22" i="2" l="1"/>
  <c r="T12" i="2"/>
  <c r="AB36" i="2"/>
  <c r="AI13" i="2"/>
  <c r="AQ20" i="2"/>
  <c r="AJ17" i="1"/>
  <c r="AK17" i="1"/>
  <c r="T4" i="2"/>
  <c r="T23" i="2"/>
  <c r="AJ18" i="1"/>
  <c r="AJ13" i="2" l="1"/>
  <c r="AR20" i="2"/>
  <c r="T16" i="2"/>
  <c r="T18" i="2" s="1"/>
  <c r="U6" i="2"/>
  <c r="U3" i="2"/>
  <c r="AK13" i="2" l="1"/>
  <c r="T25" i="2"/>
  <c r="T24" i="2"/>
  <c r="T19" i="2"/>
  <c r="AL13" i="2" l="1"/>
  <c r="U27" i="2"/>
  <c r="U17" i="2"/>
  <c r="U10" i="2"/>
  <c r="V10" i="2" s="1"/>
  <c r="U9" i="2"/>
  <c r="V9" i="2" s="1"/>
  <c r="U8" i="2"/>
  <c r="V8" i="2" s="1"/>
  <c r="V7" i="2"/>
  <c r="U7" i="2"/>
  <c r="V6" i="2"/>
  <c r="V5" i="2"/>
  <c r="U5" i="2"/>
  <c r="AM13" i="2" l="1"/>
  <c r="V30" i="2"/>
  <c r="V31" i="2"/>
  <c r="K61" i="2"/>
  <c r="K64" i="2" s="1"/>
  <c r="K49" i="2"/>
  <c r="K51" i="2" s="1"/>
  <c r="K28" i="2"/>
  <c r="K27" i="2"/>
  <c r="K15" i="2"/>
  <c r="AC15" i="2" s="1"/>
  <c r="AD15" i="2" s="1"/>
  <c r="K11" i="2"/>
  <c r="K5" i="2"/>
  <c r="K22" i="2" s="1"/>
  <c r="P14" i="3"/>
  <c r="T16" i="3" s="1"/>
  <c r="AE15" i="2" l="1"/>
  <c r="AD16" i="2"/>
  <c r="AN13" i="2"/>
  <c r="K66" i="2"/>
  <c r="K67" i="2" s="1"/>
  <c r="K77" i="2" s="1"/>
  <c r="Q15" i="3"/>
  <c r="P16" i="3"/>
  <c r="P15" i="3"/>
  <c r="K12" i="2"/>
  <c r="P4" i="3"/>
  <c r="AO13" i="2" l="1"/>
  <c r="AD25" i="2"/>
  <c r="AF15" i="2"/>
  <c r="AE16" i="2"/>
  <c r="K16" i="2"/>
  <c r="K23" i="2"/>
  <c r="P3" i="3"/>
  <c r="AE25" i="2" l="1"/>
  <c r="AE18" i="2"/>
  <c r="AG15" i="2"/>
  <c r="AF16" i="2"/>
  <c r="AD24" i="2"/>
  <c r="AD19" i="2"/>
  <c r="AP13" i="2"/>
  <c r="K18" i="2"/>
  <c r="K85" i="2" s="1"/>
  <c r="K25" i="2"/>
  <c r="Y14" i="3"/>
  <c r="Y10" i="3"/>
  <c r="Y6" i="3"/>
  <c r="Y2" i="3"/>
  <c r="Z10" i="3"/>
  <c r="Z6" i="3"/>
  <c r="Z2" i="3"/>
  <c r="AQ13" i="2" l="1"/>
  <c r="AF18" i="2"/>
  <c r="AF25" i="2"/>
  <c r="AH15" i="2"/>
  <c r="AG16" i="2"/>
  <c r="AE24" i="2"/>
  <c r="AE19" i="2"/>
  <c r="K19" i="2"/>
  <c r="K24" i="2"/>
  <c r="V22" i="2"/>
  <c r="U22" i="2"/>
  <c r="V15" i="2"/>
  <c r="U15" i="2"/>
  <c r="V14" i="2"/>
  <c r="U14" i="2"/>
  <c r="AA14" i="2" s="1"/>
  <c r="AA16" i="2" s="1"/>
  <c r="V13" i="2"/>
  <c r="U13" i="2"/>
  <c r="Z4" i="3"/>
  <c r="Z14" i="3"/>
  <c r="AA14" i="3"/>
  <c r="AA10" i="3"/>
  <c r="AA6" i="3"/>
  <c r="AA2" i="3"/>
  <c r="AA4" i="3" s="1"/>
  <c r="C11" i="1"/>
  <c r="C8" i="1"/>
  <c r="G17" i="1" s="1"/>
  <c r="AI18" i="1"/>
  <c r="AH18" i="1"/>
  <c r="AG18" i="1"/>
  <c r="AF18" i="1"/>
  <c r="AE18" i="1"/>
  <c r="AD18" i="1"/>
  <c r="AC18" i="1"/>
  <c r="AB18" i="1"/>
  <c r="AA18" i="1"/>
  <c r="AI17" i="1"/>
  <c r="AH17" i="1"/>
  <c r="AG17" i="1"/>
  <c r="AF17" i="1"/>
  <c r="AE17" i="1"/>
  <c r="AD17" i="1"/>
  <c r="AC17" i="1"/>
  <c r="AB17" i="1"/>
  <c r="AA17" i="1"/>
  <c r="Z17" i="1"/>
  <c r="Y17" i="1"/>
  <c r="X17" i="1"/>
  <c r="AI14" i="1"/>
  <c r="AH14" i="1"/>
  <c r="AG14" i="1"/>
  <c r="AF14" i="1"/>
  <c r="AE14" i="1"/>
  <c r="AD14" i="1"/>
  <c r="AC14" i="1"/>
  <c r="AB14" i="1"/>
  <c r="AI13" i="1"/>
  <c r="AH13" i="1"/>
  <c r="AG13" i="1"/>
  <c r="AF13" i="1"/>
  <c r="AE13" i="1"/>
  <c r="AD13" i="1"/>
  <c r="AC13" i="1"/>
  <c r="AB13" i="1"/>
  <c r="AA13" i="1"/>
  <c r="Z13" i="1"/>
  <c r="Y13" i="1"/>
  <c r="AI10" i="1"/>
  <c r="AH10" i="1"/>
  <c r="AG10" i="1"/>
  <c r="AF10" i="1"/>
  <c r="AE10" i="1"/>
  <c r="AD10" i="1"/>
  <c r="AC10" i="1"/>
  <c r="AB10" i="1"/>
  <c r="AI9" i="1"/>
  <c r="AH9" i="1"/>
  <c r="AG9" i="1"/>
  <c r="AF9" i="1"/>
  <c r="AE9" i="1"/>
  <c r="AD9" i="1"/>
  <c r="AC9" i="1"/>
  <c r="AB9" i="1"/>
  <c r="AA9" i="1"/>
  <c r="Z9" i="1"/>
  <c r="Y9" i="1"/>
  <c r="AI6" i="1"/>
  <c r="AH6" i="1"/>
  <c r="AG6" i="1"/>
  <c r="AF6" i="1"/>
  <c r="AE6" i="1"/>
  <c r="AD6" i="1"/>
  <c r="AC6" i="1"/>
  <c r="AB6" i="1"/>
  <c r="AA6" i="1"/>
  <c r="AI5" i="1"/>
  <c r="AH5" i="1"/>
  <c r="AG5" i="1"/>
  <c r="AF5" i="1"/>
  <c r="AE5" i="1"/>
  <c r="AD5" i="1"/>
  <c r="AC5" i="1"/>
  <c r="AB5" i="1"/>
  <c r="AA5" i="1"/>
  <c r="Z5" i="1"/>
  <c r="Y5" i="1"/>
  <c r="X5" i="1"/>
  <c r="O12" i="3"/>
  <c r="O4" i="3"/>
  <c r="N12" i="3"/>
  <c r="N4" i="3"/>
  <c r="D15" i="3"/>
  <c r="E11" i="3"/>
  <c r="E3" i="3" s="1"/>
  <c r="F11" i="3"/>
  <c r="D3" i="3"/>
  <c r="AG18" i="2" l="1"/>
  <c r="AG25" i="2"/>
  <c r="AI15" i="2"/>
  <c r="AH16" i="2"/>
  <c r="AF24" i="2"/>
  <c r="AF19" i="2"/>
  <c r="AR13" i="2"/>
  <c r="AA18" i="2"/>
  <c r="AA25" i="2"/>
  <c r="AU24" i="2"/>
  <c r="AA16" i="3"/>
  <c r="U4" i="2"/>
  <c r="V28" i="2"/>
  <c r="U28" i="2"/>
  <c r="U11" i="2"/>
  <c r="U12" i="2" s="1"/>
  <c r="V4" i="2"/>
  <c r="V17" i="2"/>
  <c r="AA12" i="3"/>
  <c r="Z16" i="3"/>
  <c r="Z12" i="3"/>
  <c r="Z8" i="3"/>
  <c r="AA8" i="3"/>
  <c r="C12" i="1"/>
  <c r="E7" i="3"/>
  <c r="E15" i="3" s="1"/>
  <c r="F3" i="3"/>
  <c r="F7" i="3"/>
  <c r="G19" i="1" l="1"/>
  <c r="G20" i="1"/>
  <c r="AH18" i="2"/>
  <c r="AH25" i="2"/>
  <c r="AJ15" i="2"/>
  <c r="AI16" i="2"/>
  <c r="AG24" i="2"/>
  <c r="AG19" i="2"/>
  <c r="AA19" i="2"/>
  <c r="AA24" i="2"/>
  <c r="V11" i="2"/>
  <c r="V12" i="2" s="1"/>
  <c r="U23" i="2"/>
  <c r="U16" i="2"/>
  <c r="F15" i="3"/>
  <c r="AI18" i="2" l="1"/>
  <c r="AI25" i="2"/>
  <c r="AK15" i="2"/>
  <c r="AJ16" i="2"/>
  <c r="AH24" i="2"/>
  <c r="AH19" i="2"/>
  <c r="U18" i="2"/>
  <c r="U25" i="2"/>
  <c r="N11" i="2"/>
  <c r="N12" i="2" s="1"/>
  <c r="V23" i="2"/>
  <c r="V16" i="2"/>
  <c r="G28" i="2"/>
  <c r="H28" i="2"/>
  <c r="J28" i="2"/>
  <c r="I28" i="2"/>
  <c r="D27" i="2"/>
  <c r="E27" i="2"/>
  <c r="F27" i="2"/>
  <c r="D11" i="2"/>
  <c r="D5" i="2"/>
  <c r="D22" i="2" s="1"/>
  <c r="E11" i="2"/>
  <c r="E5" i="2"/>
  <c r="E22" i="2" s="1"/>
  <c r="C11" i="2"/>
  <c r="C5" i="2"/>
  <c r="C22" i="2" s="1"/>
  <c r="Q81" i="2" l="1"/>
  <c r="P81" i="2"/>
  <c r="O81" i="2"/>
  <c r="N81" i="2"/>
  <c r="AJ25" i="2"/>
  <c r="AJ18" i="2"/>
  <c r="AL15" i="2"/>
  <c r="AK16" i="2"/>
  <c r="AI24" i="2"/>
  <c r="AI19" i="2"/>
  <c r="N16" i="2"/>
  <c r="AC16" i="2" s="1"/>
  <c r="AC25" i="2" s="1"/>
  <c r="N23" i="2"/>
  <c r="V18" i="2"/>
  <c r="V25" i="2"/>
  <c r="D12" i="2"/>
  <c r="D16" i="2" s="1"/>
  <c r="E12" i="2"/>
  <c r="E16" i="2" s="1"/>
  <c r="E18" i="2" s="1"/>
  <c r="C12" i="2"/>
  <c r="C16" i="2" s="1"/>
  <c r="AM15" i="2" l="1"/>
  <c r="AL16" i="2"/>
  <c r="AK18" i="2"/>
  <c r="AK25" i="2"/>
  <c r="AJ24" i="2"/>
  <c r="AJ19" i="2"/>
  <c r="N18" i="2"/>
  <c r="AC18" i="2" s="1"/>
  <c r="N25" i="2"/>
  <c r="D23" i="2"/>
  <c r="D18" i="2"/>
  <c r="E23" i="2"/>
  <c r="E25" i="2"/>
  <c r="C23" i="2"/>
  <c r="C25" i="2"/>
  <c r="C18" i="2"/>
  <c r="H61" i="2"/>
  <c r="H64" i="2" s="1"/>
  <c r="H49" i="2"/>
  <c r="H51" i="2" s="1"/>
  <c r="AK24" i="2" l="1"/>
  <c r="AK19" i="2"/>
  <c r="AL18" i="2"/>
  <c r="AL25" i="2"/>
  <c r="AN15" i="2"/>
  <c r="AM16" i="2"/>
  <c r="N85" i="2"/>
  <c r="N24" i="2"/>
  <c r="AC19" i="2"/>
  <c r="AC24" i="2"/>
  <c r="H66" i="2"/>
  <c r="H67" i="2" s="1"/>
  <c r="H77" i="2" s="1"/>
  <c r="D25" i="2"/>
  <c r="D24" i="2"/>
  <c r="D19" i="2"/>
  <c r="E24" i="2"/>
  <c r="E19" i="2"/>
  <c r="C24" i="2"/>
  <c r="C19" i="2"/>
  <c r="G61" i="2"/>
  <c r="G64" i="2" s="1"/>
  <c r="G49" i="2"/>
  <c r="G51" i="2" s="1"/>
  <c r="AM18" i="2" l="1"/>
  <c r="AM25" i="2"/>
  <c r="AL24" i="2"/>
  <c r="AL19" i="2"/>
  <c r="AO15" i="2"/>
  <c r="AN16" i="2"/>
  <c r="G66" i="2"/>
  <c r="G67" i="2" s="1"/>
  <c r="G77" i="2" s="1"/>
  <c r="G27" i="2"/>
  <c r="H27" i="2"/>
  <c r="I27" i="2"/>
  <c r="J27" i="2"/>
  <c r="I61" i="2"/>
  <c r="I64" i="2" s="1"/>
  <c r="I49" i="2"/>
  <c r="I51" i="2" s="1"/>
  <c r="F61" i="2"/>
  <c r="F49" i="2"/>
  <c r="F51" i="2" s="1"/>
  <c r="F66" i="2" s="1"/>
  <c r="F67" i="2" s="1"/>
  <c r="AN25" i="2" l="1"/>
  <c r="AN18" i="2"/>
  <c r="AP15" i="2"/>
  <c r="AO16" i="2"/>
  <c r="AM24" i="2"/>
  <c r="AM19" i="2"/>
  <c r="I66" i="2"/>
  <c r="I67" i="2" s="1"/>
  <c r="I77" i="2" s="1"/>
  <c r="J61" i="2"/>
  <c r="J64" i="2" s="1"/>
  <c r="J49" i="2"/>
  <c r="J40" i="2"/>
  <c r="I5" i="2"/>
  <c r="I22" i="2" s="1"/>
  <c r="I11" i="2"/>
  <c r="F5" i="2"/>
  <c r="F22" i="2" s="1"/>
  <c r="F11" i="2"/>
  <c r="H5" i="2"/>
  <c r="H22" i="2" s="1"/>
  <c r="H11" i="2"/>
  <c r="AO18" i="2" l="1"/>
  <c r="AO25" i="2"/>
  <c r="AQ15" i="2"/>
  <c r="AP16" i="2"/>
  <c r="J69" i="2"/>
  <c r="J71" i="2" s="1"/>
  <c r="J75" i="2" s="1"/>
  <c r="AN24" i="2"/>
  <c r="AN19" i="2"/>
  <c r="J51" i="2"/>
  <c r="F12" i="2"/>
  <c r="I12" i="2"/>
  <c r="H12" i="2"/>
  <c r="G5" i="2"/>
  <c r="G22" i="2" s="1"/>
  <c r="G11" i="2"/>
  <c r="J79" i="2" l="1"/>
  <c r="J82" i="2"/>
  <c r="AR15" i="2"/>
  <c r="AR16" i="2" s="1"/>
  <c r="AQ16" i="2"/>
  <c r="AP18" i="2"/>
  <c r="AP25" i="2"/>
  <c r="AO24" i="2"/>
  <c r="AO19" i="2"/>
  <c r="I16" i="2"/>
  <c r="H16" i="2"/>
  <c r="H25" i="2" s="1"/>
  <c r="J66" i="2"/>
  <c r="J67" i="2" s="1"/>
  <c r="J77" i="2" s="1"/>
  <c r="F16" i="2"/>
  <c r="F25" i="2" s="1"/>
  <c r="F23" i="2"/>
  <c r="G12" i="2"/>
  <c r="G81" i="2" s="1"/>
  <c r="I23" i="2"/>
  <c r="H23" i="2"/>
  <c r="J5" i="2"/>
  <c r="J22" i="2" s="1"/>
  <c r="J11" i="2"/>
  <c r="H18" i="2" l="1"/>
  <c r="H85" i="2" s="1"/>
  <c r="AQ18" i="2"/>
  <c r="AQ25" i="2"/>
  <c r="AR18" i="2"/>
  <c r="AR25" i="2"/>
  <c r="AP24" i="2"/>
  <c r="AP19" i="2"/>
  <c r="I81" i="2"/>
  <c r="H81" i="2"/>
  <c r="F18" i="2"/>
  <c r="F19" i="2" s="1"/>
  <c r="G23" i="2"/>
  <c r="G16" i="2"/>
  <c r="G18" i="2" s="1"/>
  <c r="G19" i="2" s="1"/>
  <c r="H19" i="2"/>
  <c r="H24" i="2"/>
  <c r="I25" i="2"/>
  <c r="I18" i="2"/>
  <c r="J12" i="2"/>
  <c r="M81" i="2" s="1"/>
  <c r="AS18" i="2" l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AR24" i="2"/>
  <c r="AR19" i="2"/>
  <c r="AQ24" i="2"/>
  <c r="AQ19" i="2"/>
  <c r="J16" i="2"/>
  <c r="L81" i="2"/>
  <c r="K81" i="2"/>
  <c r="J81" i="2"/>
  <c r="I24" i="2"/>
  <c r="I85" i="2"/>
  <c r="G80" i="2"/>
  <c r="H80" i="2"/>
  <c r="F24" i="2"/>
  <c r="G25" i="2"/>
  <c r="I19" i="2"/>
  <c r="I80" i="2" s="1"/>
  <c r="J23" i="2"/>
  <c r="G24" i="2"/>
  <c r="J18" i="2" l="1"/>
  <c r="J85" i="2" s="1"/>
  <c r="J25" i="2"/>
  <c r="J24" i="2" l="1"/>
  <c r="J19" i="2"/>
  <c r="M80" i="2" s="1"/>
  <c r="K80" i="2" l="1"/>
  <c r="J80" i="2"/>
  <c r="L80" i="2"/>
  <c r="U24" i="2"/>
  <c r="M4" i="3"/>
  <c r="L4" i="3"/>
  <c r="I4" i="3"/>
  <c r="I8" i="3" s="1"/>
  <c r="G16" i="3"/>
  <c r="U19" i="2" l="1"/>
  <c r="M8" i="3"/>
  <c r="K4" i="3"/>
  <c r="O8" i="3" s="1"/>
  <c r="G11" i="3"/>
  <c r="G4" i="3"/>
  <c r="V19" i="2" l="1"/>
  <c r="V24" i="2"/>
  <c r="K12" i="3"/>
  <c r="O16" i="3" s="1"/>
  <c r="G3" i="3"/>
  <c r="G7" i="3" s="1"/>
  <c r="G15" i="3" s="1"/>
  <c r="K8" i="3"/>
  <c r="M12" i="3"/>
  <c r="L12" i="3"/>
  <c r="N19" i="2" l="1"/>
  <c r="K16" i="3"/>
  <c r="J4" i="3"/>
  <c r="N8" i="3" s="1"/>
  <c r="H4" i="3"/>
  <c r="L8" i="3" s="1"/>
  <c r="J8" i="3"/>
  <c r="J12" i="3"/>
  <c r="N16" i="3" s="1"/>
  <c r="H8" i="3"/>
  <c r="H12" i="3"/>
  <c r="H16" i="3" s="1"/>
  <c r="I12" i="3"/>
  <c r="M16" i="3" s="1"/>
  <c r="Q80" i="2" l="1"/>
  <c r="P80" i="2"/>
  <c r="O80" i="2"/>
  <c r="N80" i="2"/>
  <c r="N11" i="3"/>
  <c r="O11" i="3"/>
  <c r="L16" i="3"/>
  <c r="I16" i="3"/>
  <c r="L11" i="3"/>
  <c r="I11" i="3"/>
  <c r="J16" i="3"/>
  <c r="K11" i="3" s="1"/>
  <c r="L3" i="3" s="1"/>
  <c r="M11" i="3"/>
  <c r="J11" i="3"/>
  <c r="H11" i="3"/>
  <c r="H3" i="3" s="1"/>
  <c r="H7" i="3" s="1"/>
  <c r="H15" i="3" s="1"/>
  <c r="M3" i="3" l="1"/>
  <c r="O3" i="3"/>
  <c r="J3" i="3"/>
  <c r="M7" i="3"/>
  <c r="N3" i="3"/>
  <c r="K3" i="3"/>
  <c r="I3" i="3"/>
  <c r="I7" i="3" s="1"/>
  <c r="I15" i="3" s="1"/>
  <c r="N7" i="3" l="1"/>
  <c r="BI18" i="2"/>
  <c r="O7" i="3"/>
  <c r="K7" i="3"/>
  <c r="L7" i="3"/>
  <c r="J7" i="3"/>
  <c r="J15" i="3" s="1"/>
  <c r="BJ18" i="2" l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BY18" i="2" s="1"/>
  <c r="BZ18" i="2" s="1"/>
  <c r="CA18" i="2" s="1"/>
  <c r="CB18" i="2" s="1"/>
  <c r="CC18" i="2" s="1"/>
  <c r="CD18" i="2" s="1"/>
  <c r="CE18" i="2" s="1"/>
  <c r="O15" i="3"/>
  <c r="N15" i="3"/>
  <c r="L15" i="3"/>
  <c r="M15" i="3"/>
  <c r="K15" i="3"/>
  <c r="AU23" i="2" l="1"/>
  <c r="AU25" i="2" s="1"/>
  <c r="AU26" i="2" s="1"/>
  <c r="AB10" i="3"/>
  <c r="AB12" i="3" s="1"/>
  <c r="AU28" i="2" l="1"/>
  <c r="AB2" i="3"/>
  <c r="AB4" i="3" s="1"/>
  <c r="AB6" i="3"/>
  <c r="AB8" i="3" s="1"/>
  <c r="AB14" i="3" l="1"/>
  <c r="AB16" i="3" s="1"/>
</calcChain>
</file>

<file path=xl/sharedStrings.xml><?xml version="1.0" encoding="utf-8"?>
<sst xmlns="http://schemas.openxmlformats.org/spreadsheetml/2006/main" count="841" uniqueCount="392">
  <si>
    <t>Price</t>
  </si>
  <si>
    <t>Shares</t>
  </si>
  <si>
    <t>MC</t>
  </si>
  <si>
    <t>Cash</t>
  </si>
  <si>
    <t>Debt</t>
  </si>
  <si>
    <t>EV</t>
  </si>
  <si>
    <t>Q421</t>
  </si>
  <si>
    <t>Net Cash</t>
  </si>
  <si>
    <t>Q122</t>
  </si>
  <si>
    <t>Revenue</t>
  </si>
  <si>
    <t>Q121</t>
  </si>
  <si>
    <t>Q221</t>
  </si>
  <si>
    <t>Q321</t>
  </si>
  <si>
    <t>Q222</t>
  </si>
  <si>
    <t>Q323</t>
  </si>
  <si>
    <t>Q422</t>
  </si>
  <si>
    <t>Gross Margin %</t>
  </si>
  <si>
    <t>Gross Profit</t>
  </si>
  <si>
    <t>Developer Exchange Fees</t>
  </si>
  <si>
    <t>Infrastructure, Trust &amp; Safety</t>
  </si>
  <si>
    <t>R&amp;D</t>
  </si>
  <si>
    <t>General &amp; Administrative</t>
  </si>
  <si>
    <t>Sales &amp; Marketing</t>
  </si>
  <si>
    <t>Operating Expenses</t>
  </si>
  <si>
    <t>Operating Margin %</t>
  </si>
  <si>
    <t>Interest Income</t>
  </si>
  <si>
    <t>Pretax Income</t>
  </si>
  <si>
    <t>Net Income</t>
  </si>
  <si>
    <t>Operating Income</t>
  </si>
  <si>
    <t>Net Margin %</t>
  </si>
  <si>
    <t>Tax Rate</t>
  </si>
  <si>
    <t>EPS</t>
  </si>
  <si>
    <t>Q420</t>
  </si>
  <si>
    <t>-</t>
  </si>
  <si>
    <t>Cost of Revenue</t>
  </si>
  <si>
    <t>Revenue Y/Y</t>
  </si>
  <si>
    <t>Balance Sheet</t>
  </si>
  <si>
    <t>A/R</t>
  </si>
  <si>
    <t>Deferred cost of revenue</t>
  </si>
  <si>
    <t>Operating lease ROU</t>
  </si>
  <si>
    <t>Deferred cost of revenue, long term</t>
  </si>
  <si>
    <t>Prepaid expenses &amp; OCA</t>
  </si>
  <si>
    <t>PP&amp;E</t>
  </si>
  <si>
    <t>Assets</t>
  </si>
  <si>
    <t>ONCA</t>
  </si>
  <si>
    <t>Goodwill + Intangibles</t>
  </si>
  <si>
    <t>A/P</t>
  </si>
  <si>
    <t>A/E &amp; OCL</t>
  </si>
  <si>
    <t>Developer Exchange Liability</t>
  </si>
  <si>
    <t>D/R (Current)</t>
  </si>
  <si>
    <t>D/R (Net)</t>
  </si>
  <si>
    <t>Operating lease liabilities</t>
  </si>
  <si>
    <t>ONCL</t>
  </si>
  <si>
    <t>Liabilities</t>
  </si>
  <si>
    <t>S/E</t>
  </si>
  <si>
    <t>L+/SE</t>
  </si>
  <si>
    <t>Revenue Q/Q</t>
  </si>
  <si>
    <t>$RBLX</t>
  </si>
  <si>
    <t>TODO List:</t>
  </si>
  <si>
    <t>Basic company info</t>
  </si>
  <si>
    <t>Metrics (DAU etc.)</t>
  </si>
  <si>
    <t>Update search trends, find better stats</t>
  </si>
  <si>
    <t>DAU</t>
  </si>
  <si>
    <t>https://backlinko.com/roblox-users</t>
  </si>
  <si>
    <t>https://d18rn0p25nwr6d.cloudfront.net/CIK-0001315098/6af8d034-0014-4cf6-a720-eb0aef28a9af.html#</t>
  </si>
  <si>
    <t>Q320</t>
  </si>
  <si>
    <t>Q220</t>
  </si>
  <si>
    <t>Q120</t>
  </si>
  <si>
    <t>Q419</t>
  </si>
  <si>
    <t>Q319</t>
  </si>
  <si>
    <t>Q219</t>
  </si>
  <si>
    <t>Q119</t>
  </si>
  <si>
    <t>Q418</t>
  </si>
  <si>
    <t>DAU Q/Q</t>
  </si>
  <si>
    <t>DAU Y/Y</t>
  </si>
  <si>
    <t>DAU &lt;= 13</t>
  </si>
  <si>
    <t>DAU &gt; 13</t>
  </si>
  <si>
    <t>DAU &lt;= 13 Q/Q</t>
  </si>
  <si>
    <t>DAU &lt;= 13 Y/Y</t>
  </si>
  <si>
    <t>DAU &gt; 13 Q/Q</t>
  </si>
  <si>
    <t>DAU &gt; 13 Y/Y</t>
  </si>
  <si>
    <t>Roblox Metrics</t>
  </si>
  <si>
    <t>Stock Snapshot</t>
  </si>
  <si>
    <t>User Engagement</t>
  </si>
  <si>
    <t>User Engagement Q/Q</t>
  </si>
  <si>
    <t>User Engagement Y/Y</t>
  </si>
  <si>
    <t>(In million hours)</t>
  </si>
  <si>
    <t>(In millions)</t>
  </si>
  <si>
    <t>https://activeplayer.io/roblox/</t>
  </si>
  <si>
    <t>FY20</t>
  </si>
  <si>
    <t>FY21</t>
  </si>
  <si>
    <t>FY22</t>
  </si>
  <si>
    <t>Other Expense, net</t>
  </si>
  <si>
    <t>Other Income</t>
  </si>
  <si>
    <t>Taxes/(benefit from)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</si>
  <si>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</si>
  <si>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</si>
  <si>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</si>
  <si>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</si>
  <si>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</si>
  <si>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</si>
  <si>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</si>
  <si>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</si>
  <si>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</si>
  <si>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</si>
  <si>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</si>
  <si>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</si>
  <si>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</si>
  <si>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Q123</t>
  </si>
  <si>
    <t>Q322</t>
  </si>
  <si>
    <t>FY19</t>
  </si>
  <si>
    <t>Roblox Corporation</t>
  </si>
  <si>
    <t>FY36</t>
  </si>
  <si>
    <t>FY37</t>
  </si>
  <si>
    <t>Discount Rate</t>
  </si>
  <si>
    <t>NPV</t>
  </si>
  <si>
    <t>Total Value</t>
  </si>
  <si>
    <t>Per Share</t>
  </si>
  <si>
    <t>Maturity Value</t>
  </si>
  <si>
    <t>(projected)</t>
  </si>
  <si>
    <t>Projected Upside</t>
  </si>
  <si>
    <t>Current Share Price</t>
  </si>
  <si>
    <t>Bookings</t>
  </si>
  <si>
    <t>(15/2/2022)</t>
  </si>
  <si>
    <t>(15/3/2022)</t>
  </si>
  <si>
    <t>Press Releases</t>
  </si>
  <si>
    <t>Further monitization options?? (In game ads? Brand deals?)</t>
  </si>
  <si>
    <t>Statistica Data</t>
  </si>
  <si>
    <t>Bookings Q/Q</t>
  </si>
  <si>
    <t>Bookings Y/Y</t>
  </si>
  <si>
    <t>Management</t>
  </si>
  <si>
    <t>David Baszucki</t>
  </si>
  <si>
    <t>Founder/CEO</t>
  </si>
  <si>
    <t>CTO</t>
  </si>
  <si>
    <t>Daniel Sturman</t>
  </si>
  <si>
    <t>Recent Updates</t>
  </si>
  <si>
    <t>Spatial Voice (VOIP)</t>
  </si>
  <si>
    <t>3million 10m hours per week</t>
  </si>
  <si>
    <t>3million 8m hours per week</t>
  </si>
  <si>
    <t>Pre Covid</t>
  </si>
  <si>
    <t>Covid</t>
  </si>
  <si>
    <t>Post Covid</t>
  </si>
  <si>
    <t>India &amp; Japan</t>
  </si>
  <si>
    <t>Growth markets</t>
  </si>
  <si>
    <t>Layered Clothing/Fashion System (Brand experience opportunities, e.g. nike trainers)</t>
  </si>
  <si>
    <t>Age Verification System (works hand in hand with Spatial Voice)</t>
  </si>
  <si>
    <t>ROBLOX Cloud - access backend through API</t>
  </si>
  <si>
    <t xml:space="preserve">Added datacentre in India, decreased latency by 50% </t>
  </si>
  <si>
    <t>Pre covid 2million DAU &lt; 5m hours per week</t>
  </si>
  <si>
    <t>Roblox Immersive Advertising System</t>
  </si>
  <si>
    <t>Parallel economy to support brands bringing traffic to their experiences</t>
  </si>
  <si>
    <t>McClaren</t>
  </si>
  <si>
    <t>Chiptole</t>
  </si>
  <si>
    <t>American Eagle</t>
  </si>
  <si>
    <t>BRIT Awards</t>
  </si>
  <si>
    <t>Grammy</t>
  </si>
  <si>
    <t>David Guetta</t>
  </si>
  <si>
    <t>SONY virtual concert</t>
  </si>
  <si>
    <t>Spotify Island</t>
  </si>
  <si>
    <t>Development Pipeline</t>
  </si>
  <si>
    <t>Roblox bespoke translate system (better long term engagement growth than other translate systems)</t>
  </si>
  <si>
    <t>Any game developer will have ability to use the dynamic ads</t>
  </si>
  <si>
    <t>In-game billboard, in-game teleports - dynamic ad servers</t>
  </si>
  <si>
    <t xml:space="preserve"> (not just image/video but 3d units) </t>
  </si>
  <si>
    <t>CFO</t>
  </si>
  <si>
    <t>Mike Guthrie</t>
  </si>
  <si>
    <t>Nike</t>
  </si>
  <si>
    <t>"Bookings highly correlated with hours engaged"</t>
  </si>
  <si>
    <t>https://seekingalpha.com/article/4510104-roblox-corporation-rblx-ceo-david-baszucki-on-q1-2022-results-earnings-call-transcript</t>
  </si>
  <si>
    <t>Dynamic Player Heads &amp; Facial Animations (rolling out)</t>
  </si>
  <si>
    <t>Custom Materials (beta)</t>
  </si>
  <si>
    <t>Metrics</t>
  </si>
  <si>
    <t>Bookings Per DAU</t>
  </si>
  <si>
    <t>(In USD)</t>
  </si>
  <si>
    <t>Est Bookings</t>
  </si>
  <si>
    <t>(In USD Millions)</t>
  </si>
  <si>
    <t>Good Gaming Inc</t>
  </si>
  <si>
    <t>Puma</t>
  </si>
  <si>
    <t>Layered Clothing</t>
  </si>
  <si>
    <t>Clarks</t>
  </si>
  <si>
    <t>Immersive sports experience</t>
  </si>
  <si>
    <t>Brand Experiences</t>
  </si>
  <si>
    <t>Tommy Hilfiger</t>
  </si>
  <si>
    <t>Ralph Lauren</t>
  </si>
  <si>
    <t>Gucci</t>
  </si>
  <si>
    <t>Gucci Town' Metaverse</t>
  </si>
  <si>
    <t>(15/6/2022)</t>
  </si>
  <si>
    <t>Key Events</t>
  </si>
  <si>
    <t>had an inverse impact on bookings. Major in May</t>
  </si>
  <si>
    <t>Strengthened USD against EUR, GBP &amp; others during 2022</t>
  </si>
  <si>
    <t>(15/4/2022)</t>
  </si>
  <si>
    <t>Wimbledon</t>
  </si>
  <si>
    <t>Wimbleworld tennis game</t>
  </si>
  <si>
    <t>Profile</t>
  </si>
  <si>
    <t>HQ</t>
  </si>
  <si>
    <t>Founded</t>
  </si>
  <si>
    <t>IR</t>
  </si>
  <si>
    <t>Link</t>
  </si>
  <si>
    <t>Update</t>
  </si>
  <si>
    <t>Book Value</t>
  </si>
  <si>
    <t>Book Value per Share</t>
  </si>
  <si>
    <t>Bookings per DAU Y/Y</t>
  </si>
  <si>
    <t>Bookings per DAU Q/Q</t>
  </si>
  <si>
    <t>Ratios</t>
  </si>
  <si>
    <t>P/B</t>
  </si>
  <si>
    <t>July was "biggest engagement month in Roblox history"</t>
  </si>
  <si>
    <t>including peak COVID time, peak across regions/demogs</t>
  </si>
  <si>
    <t>30m</t>
  </si>
  <si>
    <t>3m since June</t>
  </si>
  <si>
    <t>"Getting to point where 17-24 cohort is going to pass 9-12 cohort in size"</t>
  </si>
  <si>
    <t>"Layered clothing system JUST A FIRST STEP until personalised avatars" (physical based material system is next step)</t>
  </si>
  <si>
    <t>Innovative, immersive monitisation system (ads) "Sometime later this year" - investments in infrastructure to support this</t>
  </si>
  <si>
    <t>New data centre in India &amp; Continuing to hire same as Q122</t>
  </si>
  <si>
    <t>P/S</t>
  </si>
  <si>
    <t>P/E</t>
  </si>
  <si>
    <t xml:space="preserve">Roblox announce in-game ads at RDC 2022 </t>
  </si>
  <si>
    <t>R&amp;D Q/Q</t>
  </si>
  <si>
    <t>R&amp;D Y/Y</t>
  </si>
  <si>
    <t>EV/S</t>
  </si>
  <si>
    <t>October very strong month</t>
  </si>
  <si>
    <t>Q3 Earnings Call</t>
  </si>
  <si>
    <t>Defer revenue over the life of payers</t>
  </si>
  <si>
    <t>Increased lifetime from 25 -&gt; 28 months</t>
  </si>
  <si>
    <t>Relates to retention of playerbase</t>
  </si>
  <si>
    <t>"We want that number to be as large as possible"</t>
  </si>
  <si>
    <t>without this increase Q3 rev would be 628m</t>
  </si>
  <si>
    <t>DAU 58.8</t>
  </si>
  <si>
    <t>30 Separate Cohorts - 5 Age Ranges, Gender &amp; Regions around the world</t>
  </si>
  <si>
    <t>Roblox run the company as 7 product groups</t>
  </si>
  <si>
    <t>Retention</t>
  </si>
  <si>
    <t>Frequency</t>
  </si>
  <si>
    <t>Engagement</t>
  </si>
  <si>
    <t>Monetisation</t>
  </si>
  <si>
    <t>Europe DAU ^ 30% Y/Y</t>
  </si>
  <si>
    <t>APAC ^ 40% Y/Y</t>
  </si>
  <si>
    <t>17-24 is fastest growing cohort ^ 41% Y/Y</t>
  </si>
  <si>
    <t>Elton John</t>
  </si>
  <si>
    <t>Beyond the Yellow Brick Road</t>
  </si>
  <si>
    <t>Since Nov 22</t>
  </si>
  <si>
    <t xml:space="preserve">Q4 seasonality -&gt; Thanksgiving - Christmas </t>
  </si>
  <si>
    <t>"Continue to hire through 2023"</t>
  </si>
  <si>
    <t>Stock Based Comp should be kept in "Good Range"</t>
  </si>
  <si>
    <t>$3bn Cash in the Bank &amp; Forward Looking + Cash</t>
  </si>
  <si>
    <t>"Starting next year, self-serve for everyone"</t>
  </si>
  <si>
    <t>Testing immersive ad tech with selected brands right now</t>
  </si>
  <si>
    <t>Immersive Ads can measure how many eyes saw an Ad</t>
  </si>
  <si>
    <t>This cannot be done in physical world</t>
  </si>
  <si>
    <t>Teleport type ads, brands bring fans to their experience</t>
  </si>
  <si>
    <t>Even for short amount of time to acquire items or just experience</t>
  </si>
  <si>
    <t>This will be fully measurable as action type systems</t>
  </si>
  <si>
    <t>Even longer term goal of measuring players on Roblox going to brand</t>
  </si>
  <si>
    <t>experience, then buying from the brand in the real world</t>
  </si>
  <si>
    <t>Cashflow Statement</t>
  </si>
  <si>
    <t>ROCE</t>
  </si>
  <si>
    <t>D&amp;A</t>
  </si>
  <si>
    <t>Stock Based Comp</t>
  </si>
  <si>
    <t>Other Non Cash Charges (Credit)</t>
  </si>
  <si>
    <t>Operating Lease Non-Cash</t>
  </si>
  <si>
    <t>Amortisation of Debt Issuance</t>
  </si>
  <si>
    <t>Changes in Operating Assets/Liabilities</t>
  </si>
  <si>
    <t>CFOO</t>
  </si>
  <si>
    <t>Acquisition of PP&amp;E</t>
  </si>
  <si>
    <t>Net Payments re. business combination</t>
  </si>
  <si>
    <t>Purchases of Intangibles</t>
  </si>
  <si>
    <t>CFFI</t>
  </si>
  <si>
    <t>Proceeds from Common Stock Issuance</t>
  </si>
  <si>
    <t>Payment of Term License Related</t>
  </si>
  <si>
    <t>Payment of Withholding Taxes</t>
  </si>
  <si>
    <t>Net Proceeds from Preferred Stock Issuance</t>
  </si>
  <si>
    <t>Payment of Debt Issuance</t>
  </si>
  <si>
    <t>Payments of Business Combination</t>
  </si>
  <si>
    <t>CFFF</t>
  </si>
  <si>
    <t>Model NI</t>
  </si>
  <si>
    <t>Reported NI</t>
  </si>
  <si>
    <t>Prepaid Expenses &amp; OCA</t>
  </si>
  <si>
    <t>Other Assets</t>
  </si>
  <si>
    <t>Accrued Expenses &amp; OCL</t>
  </si>
  <si>
    <t>Other LT Liability</t>
  </si>
  <si>
    <t>Operating Lease Liabilities</t>
  </si>
  <si>
    <t>Deferred Revenues</t>
  </si>
  <si>
    <t>Deferred Cost of Revenues</t>
  </si>
  <si>
    <t>CapEx</t>
  </si>
  <si>
    <t>IPO</t>
  </si>
  <si>
    <t>San Mateo, CA</t>
  </si>
  <si>
    <t>Q422 Earnings Call (Feb 15 23)</t>
  </si>
  <si>
    <t>MISS</t>
  </si>
  <si>
    <t>BEAT</t>
  </si>
  <si>
    <t>MIXED</t>
  </si>
  <si>
    <t>17-24 grew at 34% in January for bookings</t>
  </si>
  <si>
    <t>January had highest ever DAU</t>
  </si>
  <si>
    <t>1million experiences using new voice chat feature</t>
  </si>
  <si>
    <t>Dynamic head &amp; facial animations still in middle of rollout</t>
  </si>
  <si>
    <t xml:space="preserve">Layered clothing adopted by 115m users </t>
  </si>
  <si>
    <t>Experience guidelines rolled out in Q4 for trust &amp; safety purposes</t>
  </si>
  <si>
    <t>^33% y/y active developers</t>
  </si>
  <si>
    <t>NFL, Fifa, Netflix</t>
  </si>
  <si>
    <t>Company was ran almost cashflow-neutral for 2022</t>
  </si>
  <si>
    <t>"More users are becoming payers than ever before"</t>
  </si>
  <si>
    <t>ChatGPT/AI Questions asked</t>
  </si>
  <si>
    <t>Blog post coming soon discussing ML use in Rolbox</t>
  </si>
  <si>
    <t xml:space="preserve">Code acceleration, specifically for Lua scripting </t>
  </si>
  <si>
    <t xml:space="preserve">Roblox working toward a UGC economy </t>
  </si>
  <si>
    <t>Continuing to hire (but slower) despite 2022 economic &amp; industry turmoil</t>
  </si>
  <si>
    <t>Starting to see user growth that is beyond the COVID driven peaks</t>
  </si>
  <si>
    <t>APAC &amp; Western Europe growth highlighted as most prevelant</t>
  </si>
  <si>
    <t>US also continues to show growth, particularly through 9-12 age group</t>
  </si>
  <si>
    <t>Horror genre has perked up which attracts older users (Doors etc.)</t>
  </si>
  <si>
    <t>Less mature growth curve compared to US, Germany &amp; France had high growth</t>
  </si>
  <si>
    <t>Auto-translation helping to drive significant growth. Japan cited as an example</t>
  </si>
  <si>
    <t>3d Model acceleration &amp; own personal avatars</t>
  </si>
  <si>
    <t>ML use in trust &amp; safety should help drive down costs over time</t>
  </si>
  <si>
    <t xml:space="preserve">DevEx was hit ATH in Dec 22, noted as seasonality </t>
  </si>
  <si>
    <t>Advertising &amp; Brand Experiences</t>
  </si>
  <si>
    <t>"Very early innings on advertising right now"</t>
  </si>
  <si>
    <t>Aim for a self-service system for on-platform advertising</t>
  </si>
  <si>
    <t>Conservative on forecast for FY23 contributions from advertising</t>
  </si>
  <si>
    <t>Currently working with select number of brands for ads</t>
  </si>
  <si>
    <t>Employees</t>
  </si>
  <si>
    <t>Price/Bookings</t>
  </si>
  <si>
    <t>P/Bookings</t>
  </si>
  <si>
    <t>$150m (5%) of $3bn cash at hand/bank was in failed bank</t>
  </si>
  <si>
    <t>SVB which is being liquidated by regulators</t>
  </si>
  <si>
    <t>Short-Term Investments</t>
  </si>
  <si>
    <t>Long-Term Investments</t>
  </si>
  <si>
    <t>Amortisation on Marketable Securities</t>
  </si>
  <si>
    <t>Impairment Expense (gain)/loss on investment</t>
  </si>
  <si>
    <t>Purchases of Invesments</t>
  </si>
  <si>
    <t>Sale of Investments</t>
  </si>
  <si>
    <t>FCF (CHECK THIS)</t>
  </si>
  <si>
    <t>Q123 Earnings Call (May 10 23)</t>
  </si>
  <si>
    <t>"Peak users, peak hours of engagement, with high growth and more efficient margins"</t>
  </si>
  <si>
    <t xml:space="preserve">4m extra &gt;13 DAUs in Q123 </t>
  </si>
  <si>
    <t>Prepaid cards/payment methods are helping to drive up gross margins</t>
  </si>
  <si>
    <t>17-24 growing "very very rapidly", experiences like "Frontline" are driving high quality experiences for older players</t>
  </si>
  <si>
    <t>Bookings Y/Y growth rate is already faster than the COGS Y/Y growth rate with the added payment methods</t>
  </si>
  <si>
    <t>More users + More time spent + More money spent is driving bookings growth, increase in monetization per player</t>
  </si>
  <si>
    <t>Y/Y growth is in all regions aside from Europe which has been hit by Eastern Europe primarily</t>
  </si>
  <si>
    <t>Early signs of AI Generation for materials generation &amp; code generation</t>
  </si>
  <si>
    <t>Eventually 3d model generation, Avatar generation, Real-Time Translation, better discovery tools</t>
  </si>
  <si>
    <t>"Keep an eye on that" "Really building a platform to use this throughout Roblox"</t>
  </si>
  <si>
    <t>Two-types of Ad, the self-serve will be limited in contribution to the top line &amp; pushed out to 2024</t>
  </si>
  <si>
    <t>"We expect this year to roll out self-service, a full ad server for image &amp; portal ads"</t>
  </si>
  <si>
    <t>"Something that allows advertisers to on-their-own publish these experiences to Roblox"</t>
  </si>
  <si>
    <t>"We do expect to make some revenue but not sharing forecast (not significant)"</t>
  </si>
  <si>
    <t>"There will be something in the second quarter, don't change models for 2023 on advertising today"</t>
  </si>
  <si>
    <t>Layered clothing is the first step in a UGC system and enhancement to diversity of avatars</t>
  </si>
  <si>
    <t>Migration in 2023 for everything being created by the community, for avatars.. Clothing, faces etc.</t>
  </si>
  <si>
    <t>267 million users have acquired a single item of layered clothing, "a big jump from last quarter"</t>
  </si>
  <si>
    <t>"Bookings is how we run the business, the business is based on cash"</t>
  </si>
  <si>
    <t>Cash has been steady, approx. $3bn of cash with no external financing</t>
  </si>
  <si>
    <t xml:space="preserve">DAUs all-time-high, hours also at an all-time-high </t>
  </si>
  <si>
    <t>All regions are up, 13+ grew 31% Y/Y which bodes well for future growth</t>
  </si>
  <si>
    <t>"We have not suffered layoffs, we are being thoughtful in hiring the best"</t>
  </si>
  <si>
    <t>Advertising system is now in-test, over 200 developers participating in the test, a small amount of ad revenue in Q223</t>
  </si>
  <si>
    <t>NFL have already seen benefits from Roblox in-experience ad system</t>
  </si>
  <si>
    <t>AI Generative prompts are now generating basic 3d models with materials "A brick wall with a mossy texture"</t>
  </si>
  <si>
    <t>Code generation is now also in test, Roblox has a large LUA repository being used to train a generator</t>
  </si>
  <si>
    <t>Will help people to create and script on roblox, not just be an autocomplete system</t>
  </si>
  <si>
    <t>Japan DAU growing oevr 100% Y/Y, translation quality &amp; semantic search believed to be driving this</t>
  </si>
  <si>
    <t>Improving core 3d engine &amp; it's efficiency to improve player experience</t>
  </si>
  <si>
    <t>Voice is being used by almost 10% of USA DAUs over 13</t>
  </si>
  <si>
    <t xml:space="preserve">20+% dev-ex rate is manufactured to try and attract developers towards the platform to drive innovation </t>
  </si>
  <si>
    <t>Efficiencies in the business allow for more spending on the DevEx scheme whilst helping the bottom-line</t>
  </si>
  <si>
    <t>Q2 guidance is April is normally strong with the easter holidays, June is always strong because of the summer break</t>
  </si>
  <si>
    <t>RBLX announce TOS change to boost 17+ experiences</t>
  </si>
  <si>
    <t>Q223</t>
  </si>
  <si>
    <t>Bookings growing faster Y/Y than COGS. Q3 bookings should be faster than infrastructure. Q124 faster than headcount.</t>
  </si>
  <si>
    <t>Ambition of 1 billion DAUs</t>
  </si>
  <si>
    <t xml:space="preserve">Germany DAU 25% Y/Y, Korea 34%, Brazil 38%, India 40% &amp; Japan 107% </t>
  </si>
  <si>
    <t>Semantic search enabled globally for international users helped to drive this global clickthrough rate</t>
  </si>
  <si>
    <t>RBLX no longer talking about Aging up. 13 &amp; Over is 5x larger than under 13</t>
  </si>
  <si>
    <t>Product analytics introduced for developers &amp; creators on Roblox to better monitor their performance</t>
  </si>
  <si>
    <t>Anti-Cheat system aquired through acquisition has now been enabled platform-wide</t>
  </si>
  <si>
    <t>Meta-Quest adopted in a beta format, high uptake on that platform in US market</t>
  </si>
  <si>
    <t>A +30% uptake in last 6 months of Voice experiences, animated heads enabled for voice experiences</t>
  </si>
  <si>
    <t>Advertising is now live in it's early form, new chief partnership officer has been appointed to help boost brands using RBLX</t>
  </si>
  <si>
    <t>Supply-side 19% of top 100 experiences have Ad units, enabled organicly by the creator community</t>
  </si>
  <si>
    <t>"Strong demand for advertising on the platform"</t>
  </si>
  <si>
    <t>3d generative AI is coming soon</t>
  </si>
  <si>
    <t>Approx. 5 billion human hours of interaction every month on Roblox. Helps reinforce civility system &amp; T&amp;S features</t>
  </si>
  <si>
    <t>Opportunity for low-cost inference T&amp;S systems running on internal infrastructure at high efficiency of cost</t>
  </si>
  <si>
    <t>Chief Scientist</t>
  </si>
  <si>
    <t>Morgon McGuire</t>
  </si>
  <si>
    <t>DevEx expecting $800m payouts for 2023 showing increasing activity in developer exchange fees</t>
  </si>
  <si>
    <t xml:space="preserve">RBLX looking to introduce subscriptions for developer's experiences </t>
  </si>
  <si>
    <t>Plan to support this in the future but no timescale given</t>
  </si>
  <si>
    <t>Aims to boost recurring revenue</t>
  </si>
  <si>
    <t>Aim is to having avatar/clothing created entirely by AI using text prompts if user desires</t>
  </si>
  <si>
    <t>"A lot of the work [done for] meta quest is the same that would be needed for Apple Vision or other VR headsets"</t>
  </si>
  <si>
    <t>"Build once, run everywhere" is a philosophy for Roblox</t>
  </si>
  <si>
    <t>Ad-platform is being built to be completely self-serve, so advertisers do not need any hassle to get advertising</t>
  </si>
  <si>
    <t>Q423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</si>
</sst>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_(* #,##0.00_);_(* \(#,##0.00\);_(* &quot;-&quot;??_);_(@_)"/>
    <numFmt numFmtId="165" formatCode="#,##0.0"/>
    <numFmt numFmtId="166" formatCode="_-* #,##0_-;\-* #,##0_-;_-* &quot;-&quot;??_-;_-@_-"/>
    <numFmt numFmtId="167" formatCode="#,##0.000"/>
    <numFmt numFmtId="168" formatCode="#,##0.0;[Red]\ \ \-\ #,##0.0\ ;&quot;-&quot;"/>
    <numFmt numFmtId="169" formatCode="0.0"/>
    <numFmt numFmtId="170" formatCode="#,##0.0_);[Red]\(#,##0.0\)"/>
    <numFmt numFmtId="171" formatCode="_-* #,##0.0_-;\-* #,##0.0_-;_-* &quot;-&quot;??_-;_-@_-"/>
    <numFmt numFmtId="172" formatCode="0.0\x"/>
  </numFmts>
  <fonts count="6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2" tint="-0.74999237037263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2" tint="-0.74999237037263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color theme="2" tint="-0.749992370372631"/>
      <name val="Calibri"/>
      <family val="2"/>
      <scheme val="minor"/>
    </font>
    <font>
      <sz val="11"/>
      <color theme="5"/>
      <name val="Calibri"/>
      <family val="2"/>
      <scheme val="minor"/>
    </font>
    <font>
      <sz val="12"/>
      <color theme="5"/>
      <name val="Calibri"/>
      <family val="2"/>
      <scheme val="minor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i/>
      <sz val="10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i/>
      <sz val="9"/>
      <color theme="1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CA09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9" fontId="36" fillId="0" borderId="0" applyFont="0" applyFill="0" applyBorder="0" applyAlignment="0" applyProtection="0"/>
    <xf numFmtId="0" fontId="41" fillId="2" borderId="0" applyNumberFormat="0" applyBorder="0" applyAlignment="0" applyProtection="0"/>
    <xf numFmtId="0" fontId="42" fillId="0" borderId="0" applyNumberFormat="0" applyFill="0" applyBorder="0" applyAlignment="0" applyProtection="0"/>
    <xf numFmtId="43" fontId="36" fillId="0" borderId="0" applyFont="0" applyFill="0" applyBorder="0" applyAlignment="0" applyProtection="0"/>
    <xf numFmtId="0" fontId="36" fillId="3" borderId="0" applyNumberFormat="0" applyBorder="0" applyAlignment="0" applyProtection="0"/>
  </cellStyleXfs>
  <cellXfs count="344">
    <xf numFmtId="0" fontId="0" fillId="0" borderId="0" xfId="0"/>
    <xf numFmtId="0" fontId="38" fillId="0" borderId="0" xfId="0" applyFont="1"/>
    <xf numFmtId="0" fontId="38" fillId="0" borderId="0" xfId="0" applyFont="1" applyAlignment="1">
      <alignment horizontal="right"/>
    </xf>
    <xf numFmtId="165" fontId="38" fillId="0" borderId="0" xfId="0" applyNumberFormat="1" applyFont="1"/>
    <xf numFmtId="165" fontId="38" fillId="0" borderId="0" xfId="0" applyNumberFormat="1" applyFont="1" applyAlignment="1">
      <alignment horizontal="right"/>
    </xf>
    <xf numFmtId="165" fontId="35" fillId="0" borderId="0" xfId="0" applyNumberFormat="1" applyFont="1" applyAlignment="1">
      <alignment horizontal="right"/>
    </xf>
    <xf numFmtId="0" fontId="35" fillId="0" borderId="0" xfId="0" applyFont="1"/>
    <xf numFmtId="0" fontId="35" fillId="0" borderId="0" xfId="0" applyFont="1" applyAlignment="1">
      <alignment horizontal="right"/>
    </xf>
    <xf numFmtId="4" fontId="35" fillId="0" borderId="0" xfId="0" applyNumberFormat="1" applyFont="1" applyAlignment="1">
      <alignment horizontal="right"/>
    </xf>
    <xf numFmtId="165" fontId="35" fillId="0" borderId="0" xfId="0" applyNumberFormat="1" applyFont="1"/>
    <xf numFmtId="9" fontId="35" fillId="0" borderId="0" xfId="1" applyFont="1" applyAlignment="1">
      <alignment horizontal="right"/>
    </xf>
    <xf numFmtId="0" fontId="34" fillId="0" borderId="0" xfId="0" applyFont="1"/>
    <xf numFmtId="0" fontId="39" fillId="0" borderId="0" xfId="0" applyFont="1"/>
    <xf numFmtId="9" fontId="38" fillId="0" borderId="0" xfId="1" applyFont="1" applyAlignment="1">
      <alignment horizontal="right"/>
    </xf>
    <xf numFmtId="165" fontId="33" fillId="0" borderId="0" xfId="0" applyNumberFormat="1" applyFont="1" applyAlignment="1">
      <alignment horizontal="right"/>
    </xf>
    <xf numFmtId="0" fontId="33" fillId="0" borderId="0" xfId="0" applyFont="1"/>
    <xf numFmtId="0" fontId="33" fillId="0" borderId="0" xfId="0" applyFont="1" applyAlignment="1">
      <alignment horizontal="right"/>
    </xf>
    <xf numFmtId="0" fontId="40" fillId="0" borderId="0" xfId="0" applyFont="1"/>
    <xf numFmtId="165" fontId="31" fillId="0" borderId="0" xfId="0" applyNumberFormat="1" applyFont="1" applyAlignment="1">
      <alignment horizontal="right"/>
    </xf>
    <xf numFmtId="0" fontId="41" fillId="2" borderId="0" xfId="2"/>
    <xf numFmtId="0" fontId="41" fillId="2" borderId="0" xfId="2" applyAlignment="1">
      <alignment horizontal="left" indent="1"/>
    </xf>
    <xf numFmtId="0" fontId="42" fillId="2" borderId="0" xfId="3" applyFill="1" applyAlignment="1">
      <alignment horizontal="left" indent="1"/>
    </xf>
    <xf numFmtId="0" fontId="30" fillId="0" borderId="0" xfId="0" applyFont="1"/>
    <xf numFmtId="9" fontId="35" fillId="0" borderId="0" xfId="1" applyFont="1"/>
    <xf numFmtId="0" fontId="30" fillId="0" borderId="0" xfId="0" applyFont="1" applyAlignment="1">
      <alignment horizontal="right"/>
    </xf>
    <xf numFmtId="0" fontId="38" fillId="0" borderId="1" xfId="0" applyFont="1" applyBorder="1" applyAlignment="1">
      <alignment horizontal="right"/>
    </xf>
    <xf numFmtId="0" fontId="38" fillId="0" borderId="2" xfId="0" applyFont="1" applyBorder="1"/>
    <xf numFmtId="0" fontId="30" fillId="0" borderId="2" xfId="0" applyFont="1" applyBorder="1"/>
    <xf numFmtId="9" fontId="30" fillId="0" borderId="0" xfId="1" applyFont="1"/>
    <xf numFmtId="0" fontId="38" fillId="0" borderId="3" xfId="0" applyFont="1" applyBorder="1"/>
    <xf numFmtId="0" fontId="43" fillId="0" borderId="0" xfId="0" applyFont="1" applyAlignment="1">
      <alignment horizontal="right" vertical="center"/>
    </xf>
    <xf numFmtId="166" fontId="38" fillId="0" borderId="0" xfId="4" applyNumberFormat="1" applyFont="1"/>
    <xf numFmtId="9" fontId="38" fillId="0" borderId="0" xfId="1" applyFont="1"/>
    <xf numFmtId="14" fontId="45" fillId="0" borderId="0" xfId="0" applyNumberFormat="1" applyFont="1" applyAlignment="1">
      <alignment horizontal="right"/>
    </xf>
    <xf numFmtId="4" fontId="35" fillId="0" borderId="0" xfId="0" applyNumberFormat="1" applyFont="1"/>
    <xf numFmtId="14" fontId="45" fillId="0" borderId="0" xfId="0" applyNumberFormat="1" applyFont="1"/>
    <xf numFmtId="165" fontId="30" fillId="0" borderId="0" xfId="0" applyNumberFormat="1" applyFont="1"/>
    <xf numFmtId="168" fontId="30" fillId="0" borderId="0" xfId="0" applyNumberFormat="1" applyFont="1"/>
    <xf numFmtId="0" fontId="38" fillId="5" borderId="7" xfId="0" applyFont="1" applyFill="1" applyBorder="1"/>
    <xf numFmtId="165" fontId="30" fillId="0" borderId="2" xfId="0" applyNumberFormat="1" applyFont="1" applyBorder="1"/>
    <xf numFmtId="0" fontId="38" fillId="5" borderId="8" xfId="0" applyFont="1" applyFill="1" applyBorder="1"/>
    <xf numFmtId="165" fontId="30" fillId="0" borderId="3" xfId="0" applyNumberFormat="1" applyFont="1" applyBorder="1"/>
    <xf numFmtId="0" fontId="30" fillId="0" borderId="2" xfId="5" applyFont="1" applyFill="1" applyBorder="1"/>
    <xf numFmtId="165" fontId="35" fillId="0" borderId="1" xfId="0" applyNumberFormat="1" applyFont="1" applyBorder="1"/>
    <xf numFmtId="0" fontId="44" fillId="0" borderId="0" xfId="0" applyFont="1"/>
    <xf numFmtId="168" fontId="35" fillId="0" borderId="0" xfId="0" applyNumberFormat="1" applyFont="1" applyAlignment="1">
      <alignment horizontal="right"/>
    </xf>
    <xf numFmtId="169" fontId="35" fillId="0" borderId="0" xfId="0" applyNumberFormat="1" applyFont="1"/>
    <xf numFmtId="168" fontId="35" fillId="0" borderId="0" xfId="0" applyNumberFormat="1" applyFont="1"/>
    <xf numFmtId="0" fontId="46" fillId="0" borderId="0" xfId="0" applyFont="1" applyAlignment="1">
      <alignment horizontal="right"/>
    </xf>
    <xf numFmtId="0" fontId="29" fillId="0" borderId="0" xfId="0" applyFont="1"/>
    <xf numFmtId="9" fontId="29" fillId="0" borderId="0" xfId="1" applyFont="1"/>
    <xf numFmtId="167" fontId="35" fillId="0" borderId="0" xfId="0" applyNumberFormat="1" applyFont="1" applyAlignment="1">
      <alignment horizontal="right"/>
    </xf>
    <xf numFmtId="1" fontId="35" fillId="0" borderId="0" xfId="0" applyNumberFormat="1" applyFont="1"/>
    <xf numFmtId="17" fontId="47" fillId="0" borderId="1" xfId="0" applyNumberFormat="1" applyFont="1" applyBorder="1" applyAlignment="1">
      <alignment horizontal="right"/>
    </xf>
    <xf numFmtId="0" fontId="47" fillId="0" borderId="0" xfId="0" applyFont="1"/>
    <xf numFmtId="0" fontId="48" fillId="0" borderId="0" xfId="0" applyFont="1" applyAlignment="1">
      <alignment horizontal="right"/>
    </xf>
    <xf numFmtId="9" fontId="48" fillId="0" borderId="0" xfId="0" applyNumberFormat="1" applyFont="1" applyAlignment="1">
      <alignment horizontal="right"/>
    </xf>
    <xf numFmtId="0" fontId="48" fillId="0" borderId="0" xfId="0" applyFont="1"/>
    <xf numFmtId="166" fontId="47" fillId="0" borderId="0" xfId="4" applyNumberFormat="1" applyFont="1"/>
    <xf numFmtId="0" fontId="49" fillId="0" borderId="0" xfId="0" applyFont="1" applyAlignment="1">
      <alignment horizontal="right"/>
    </xf>
    <xf numFmtId="0" fontId="35" fillId="0" borderId="2" xfId="0" applyFont="1" applyBorder="1"/>
    <xf numFmtId="166" fontId="35" fillId="0" borderId="0" xfId="4" applyNumberFormat="1" applyFont="1"/>
    <xf numFmtId="43" fontId="35" fillId="0" borderId="0" xfId="4" applyFont="1"/>
    <xf numFmtId="164" fontId="35" fillId="0" borderId="0" xfId="0" applyNumberFormat="1" applyFont="1"/>
    <xf numFmtId="0" fontId="38" fillId="8" borderId="0" xfId="0" applyFont="1" applyFill="1" applyAlignment="1">
      <alignment horizontal="right"/>
    </xf>
    <xf numFmtId="0" fontId="46" fillId="8" borderId="0" xfId="0" applyFont="1" applyFill="1" applyAlignment="1">
      <alignment horizontal="right"/>
    </xf>
    <xf numFmtId="165" fontId="38" fillId="8" borderId="0" xfId="0" applyNumberFormat="1" applyFont="1" applyFill="1" applyAlignment="1">
      <alignment horizontal="right"/>
    </xf>
    <xf numFmtId="165" fontId="35" fillId="8" borderId="0" xfId="0" applyNumberFormat="1" applyFont="1" applyFill="1" applyAlignment="1">
      <alignment horizontal="right"/>
    </xf>
    <xf numFmtId="169" fontId="38" fillId="8" borderId="0" xfId="0" applyNumberFormat="1" applyFont="1" applyFill="1" applyAlignment="1">
      <alignment horizontal="right"/>
    </xf>
    <xf numFmtId="169" fontId="35" fillId="8" borderId="0" xfId="1" applyNumberFormat="1" applyFont="1" applyFill="1" applyAlignment="1">
      <alignment horizontal="right"/>
    </xf>
    <xf numFmtId="169" fontId="35" fillId="8" borderId="0" xfId="0" applyNumberFormat="1" applyFont="1" applyFill="1" applyAlignment="1">
      <alignment horizontal="right"/>
    </xf>
    <xf numFmtId="0" fontId="35" fillId="8" borderId="0" xfId="0" applyFont="1" applyFill="1" applyAlignment="1">
      <alignment horizontal="right"/>
    </xf>
    <xf numFmtId="168" fontId="35" fillId="8" borderId="0" xfId="0" applyNumberFormat="1" applyFont="1" applyFill="1" applyAlignment="1">
      <alignment horizontal="right"/>
    </xf>
    <xf numFmtId="4" fontId="35" fillId="8" borderId="0" xfId="0" applyNumberFormat="1" applyFont="1" applyFill="1" applyAlignment="1">
      <alignment horizontal="right"/>
    </xf>
    <xf numFmtId="9" fontId="35" fillId="8" borderId="0" xfId="1" applyFont="1" applyFill="1" applyAlignment="1">
      <alignment horizontal="right"/>
    </xf>
    <xf numFmtId="9" fontId="38" fillId="8" borderId="0" xfId="1" applyFont="1" applyFill="1" applyAlignment="1">
      <alignment horizontal="right"/>
    </xf>
    <xf numFmtId="165" fontId="51" fillId="0" borderId="0" xfId="0" applyNumberFormat="1" applyFont="1" applyAlignment="1">
      <alignment horizontal="right"/>
    </xf>
    <xf numFmtId="0" fontId="51" fillId="0" borderId="0" xfId="0" applyFont="1" applyAlignment="1">
      <alignment horizontal="right"/>
    </xf>
    <xf numFmtId="9" fontId="30" fillId="0" borderId="0" xfId="1" applyFont="1" applyBorder="1"/>
    <xf numFmtId="0" fontId="28" fillId="0" borderId="0" xfId="0" applyFont="1"/>
    <xf numFmtId="9" fontId="35" fillId="0" borderId="0" xfId="0" applyNumberFormat="1" applyFont="1" applyAlignment="1">
      <alignment horizontal="right"/>
    </xf>
    <xf numFmtId="165" fontId="38" fillId="0" borderId="0" xfId="1" applyNumberFormat="1" applyFont="1" applyAlignment="1">
      <alignment horizontal="right"/>
    </xf>
    <xf numFmtId="0" fontId="28" fillId="7" borderId="0" xfId="0" applyFont="1" applyFill="1" applyAlignment="1">
      <alignment horizontal="left"/>
    </xf>
    <xf numFmtId="0" fontId="35" fillId="6" borderId="8" xfId="0" applyFont="1" applyFill="1" applyBorder="1"/>
    <xf numFmtId="0" fontId="28" fillId="6" borderId="7" xfId="0" applyFont="1" applyFill="1" applyBorder="1" applyAlignment="1">
      <alignment horizontal="center" vertical="center"/>
    </xf>
    <xf numFmtId="0" fontId="27" fillId="0" borderId="0" xfId="0" applyFont="1"/>
    <xf numFmtId="0" fontId="27" fillId="6" borderId="7" xfId="0" applyFont="1" applyFill="1" applyBorder="1" applyAlignment="1">
      <alignment horizontal="left" indent="1"/>
    </xf>
    <xf numFmtId="0" fontId="35" fillId="6" borderId="0" xfId="0" applyFont="1" applyFill="1"/>
    <xf numFmtId="0" fontId="35" fillId="6" borderId="2" xfId="0" applyFont="1" applyFill="1" applyBorder="1"/>
    <xf numFmtId="0" fontId="38" fillId="6" borderId="7" xfId="0" applyFont="1" applyFill="1" applyBorder="1"/>
    <xf numFmtId="0" fontId="32" fillId="6" borderId="0" xfId="0" applyFont="1" applyFill="1"/>
    <xf numFmtId="0" fontId="27" fillId="6" borderId="8" xfId="0" applyFont="1" applyFill="1" applyBorder="1" applyAlignment="1">
      <alignment horizontal="left" indent="1"/>
    </xf>
    <xf numFmtId="0" fontId="35" fillId="6" borderId="1" xfId="0" applyFont="1" applyFill="1" applyBorder="1"/>
    <xf numFmtId="0" fontId="32" fillId="6" borderId="1" xfId="0" applyFont="1" applyFill="1" applyBorder="1"/>
    <xf numFmtId="0" fontId="35" fillId="6" borderId="3" xfId="0" applyFont="1" applyFill="1" applyBorder="1"/>
    <xf numFmtId="0" fontId="27" fillId="6" borderId="7" xfId="0" applyFont="1" applyFill="1" applyBorder="1" applyAlignment="1">
      <alignment horizontal="left" indent="3"/>
    </xf>
    <xf numFmtId="0" fontId="27" fillId="6" borderId="7" xfId="0" applyFont="1" applyFill="1" applyBorder="1" applyAlignment="1">
      <alignment horizontal="center" vertical="center"/>
    </xf>
    <xf numFmtId="0" fontId="35" fillId="9" borderId="0" xfId="0" applyFont="1" applyFill="1"/>
    <xf numFmtId="43" fontId="26" fillId="0" borderId="0" xfId="4" applyFont="1" applyAlignment="1">
      <alignment horizontal="right"/>
    </xf>
    <xf numFmtId="0" fontId="25" fillId="6" borderId="7" xfId="0" applyFont="1" applyFill="1" applyBorder="1" applyAlignment="1">
      <alignment horizontal="left"/>
    </xf>
    <xf numFmtId="0" fontId="24" fillId="0" borderId="0" xfId="0" applyFont="1"/>
    <xf numFmtId="2" fontId="30" fillId="0" borderId="0" xfId="0" applyNumberFormat="1" applyFont="1"/>
    <xf numFmtId="0" fontId="35" fillId="10" borderId="0" xfId="0" applyFont="1" applyFill="1"/>
    <xf numFmtId="17" fontId="47" fillId="10" borderId="1" xfId="0" applyNumberFormat="1" applyFont="1" applyFill="1" applyBorder="1" applyAlignment="1">
      <alignment horizontal="right"/>
    </xf>
    <xf numFmtId="0" fontId="38" fillId="10" borderId="0" xfId="0" applyFont="1" applyFill="1"/>
    <xf numFmtId="0" fontId="30" fillId="10" borderId="0" xfId="0" applyFont="1" applyFill="1" applyAlignment="1">
      <alignment horizontal="right"/>
    </xf>
    <xf numFmtId="166" fontId="38" fillId="10" borderId="0" xfId="4" applyNumberFormat="1" applyFont="1" applyFill="1"/>
    <xf numFmtId="0" fontId="38" fillId="11" borderId="0" xfId="0" applyFont="1" applyFill="1" applyAlignment="1">
      <alignment horizontal="right"/>
    </xf>
    <xf numFmtId="0" fontId="46" fillId="11" borderId="0" xfId="0" applyFont="1" applyFill="1" applyAlignment="1">
      <alignment horizontal="right"/>
    </xf>
    <xf numFmtId="165" fontId="38" fillId="11" borderId="0" xfId="0" applyNumberFormat="1" applyFont="1" applyFill="1" applyAlignment="1">
      <alignment horizontal="right"/>
    </xf>
    <xf numFmtId="165" fontId="35" fillId="11" borderId="0" xfId="0" applyNumberFormat="1" applyFont="1" applyFill="1" applyAlignment="1">
      <alignment horizontal="right"/>
    </xf>
    <xf numFmtId="9" fontId="35" fillId="11" borderId="0" xfId="1" applyFont="1" applyFill="1" applyAlignment="1">
      <alignment horizontal="right"/>
    </xf>
    <xf numFmtId="9" fontId="38" fillId="11" borderId="0" xfId="1" applyFont="1" applyFill="1" applyAlignment="1">
      <alignment horizontal="right"/>
    </xf>
    <xf numFmtId="165" fontId="38" fillId="11" borderId="0" xfId="0" applyNumberFormat="1" applyFont="1" applyFill="1"/>
    <xf numFmtId="165" fontId="35" fillId="11" borderId="0" xfId="0" applyNumberFormat="1" applyFont="1" applyFill="1"/>
    <xf numFmtId="4" fontId="35" fillId="11" borderId="0" xfId="0" applyNumberFormat="1" applyFont="1" applyFill="1"/>
    <xf numFmtId="0" fontId="35" fillId="11" borderId="0" xfId="0" applyFont="1" applyFill="1"/>
    <xf numFmtId="9" fontId="23" fillId="0" borderId="0" xfId="1" applyFont="1" applyAlignment="1">
      <alignment horizontal="right"/>
    </xf>
    <xf numFmtId="165" fontId="30" fillId="0" borderId="0" xfId="0" applyNumberFormat="1" applyFont="1" applyAlignment="1">
      <alignment horizontal="right"/>
    </xf>
    <xf numFmtId="165" fontId="38" fillId="0" borderId="0" xfId="4" applyNumberFormat="1" applyFont="1"/>
    <xf numFmtId="9" fontId="23" fillId="0" borderId="0" xfId="1" applyFont="1"/>
    <xf numFmtId="9" fontId="35" fillId="6" borderId="6" xfId="0" applyNumberFormat="1" applyFont="1" applyFill="1" applyBorder="1"/>
    <xf numFmtId="9" fontId="35" fillId="6" borderId="2" xfId="0" applyNumberFormat="1" applyFont="1" applyFill="1" applyBorder="1"/>
    <xf numFmtId="170" fontId="35" fillId="6" borderId="2" xfId="0" applyNumberFormat="1" applyFont="1" applyFill="1" applyBorder="1"/>
    <xf numFmtId="2" fontId="38" fillId="6" borderId="2" xfId="0" applyNumberFormat="1" applyFont="1" applyFill="1" applyBorder="1"/>
    <xf numFmtId="0" fontId="30" fillId="6" borderId="2" xfId="0" applyFont="1" applyFill="1" applyBorder="1"/>
    <xf numFmtId="9" fontId="30" fillId="6" borderId="3" xfId="1" applyFont="1" applyFill="1" applyBorder="1"/>
    <xf numFmtId="0" fontId="30" fillId="5" borderId="4" xfId="0" applyFont="1" applyFill="1" applyBorder="1"/>
    <xf numFmtId="0" fontId="30" fillId="5" borderId="7" xfId="0" applyFont="1" applyFill="1" applyBorder="1"/>
    <xf numFmtId="0" fontId="29" fillId="5" borderId="7" xfId="0" applyFont="1" applyFill="1" applyBorder="1"/>
    <xf numFmtId="0" fontId="29" fillId="5" borderId="8" xfId="0" applyFont="1" applyFill="1" applyBorder="1"/>
    <xf numFmtId="0" fontId="48" fillId="11" borderId="0" xfId="0" applyFont="1" applyFill="1"/>
    <xf numFmtId="9" fontId="30" fillId="0" borderId="0" xfId="1" applyFont="1" applyAlignment="1">
      <alignment horizontal="right"/>
    </xf>
    <xf numFmtId="9" fontId="22" fillId="0" borderId="0" xfId="1" applyFont="1"/>
    <xf numFmtId="0" fontId="22" fillId="0" borderId="0" xfId="0" applyFont="1"/>
    <xf numFmtId="0" fontId="21" fillId="0" borderId="0" xfId="0" applyFont="1"/>
    <xf numFmtId="169" fontId="30" fillId="0" borderId="0" xfId="0" applyNumberFormat="1" applyFont="1"/>
    <xf numFmtId="0" fontId="35" fillId="5" borderId="7" xfId="0" applyFont="1" applyFill="1" applyBorder="1" applyAlignment="1">
      <alignment horizontal="center"/>
    </xf>
    <xf numFmtId="0" fontId="35" fillId="5" borderId="8" xfId="0" applyFont="1" applyFill="1" applyBorder="1" applyAlignment="1">
      <alignment horizontal="center"/>
    </xf>
    <xf numFmtId="0" fontId="52" fillId="6" borderId="0" xfId="0" applyFont="1" applyFill="1"/>
    <xf numFmtId="0" fontId="43" fillId="6" borderId="0" xfId="0" applyFont="1" applyFill="1"/>
    <xf numFmtId="0" fontId="48" fillId="6" borderId="0" xfId="0" applyFont="1" applyFill="1"/>
    <xf numFmtId="0" fontId="48" fillId="6" borderId="0" xfId="0" quotePrefix="1" applyFont="1" applyFill="1"/>
    <xf numFmtId="0" fontId="20" fillId="6" borderId="7" xfId="0" applyFont="1" applyFill="1" applyBorder="1" applyAlignment="1">
      <alignment horizontal="center"/>
    </xf>
    <xf numFmtId="0" fontId="27" fillId="6" borderId="7" xfId="0" applyFont="1" applyFill="1" applyBorder="1" applyAlignment="1">
      <alignment horizontal="center"/>
    </xf>
    <xf numFmtId="0" fontId="35" fillId="6" borderId="7" xfId="0" applyFont="1" applyFill="1" applyBorder="1" applyAlignment="1">
      <alignment horizontal="center"/>
    </xf>
    <xf numFmtId="43" fontId="52" fillId="6" borderId="0" xfId="4" applyFont="1" applyFill="1" applyBorder="1" applyAlignment="1">
      <alignment horizontal="left" indent="1"/>
    </xf>
    <xf numFmtId="17" fontId="53" fillId="5" borderId="7" xfId="0" applyNumberFormat="1" applyFont="1" applyFill="1" applyBorder="1" applyAlignment="1">
      <alignment horizontal="center"/>
    </xf>
    <xf numFmtId="165" fontId="54" fillId="0" borderId="0" xfId="0" applyNumberFormat="1" applyFont="1" applyAlignment="1">
      <alignment horizontal="right"/>
    </xf>
    <xf numFmtId="0" fontId="19" fillId="6" borderId="7" xfId="0" applyFont="1" applyFill="1" applyBorder="1" applyAlignment="1">
      <alignment horizontal="center"/>
    </xf>
    <xf numFmtId="0" fontId="38" fillId="5" borderId="7" xfId="0" applyFont="1" applyFill="1" applyBorder="1" applyAlignment="1">
      <alignment horizontal="center"/>
    </xf>
    <xf numFmtId="0" fontId="38" fillId="5" borderId="8" xfId="0" applyFont="1" applyFill="1" applyBorder="1" applyAlignment="1">
      <alignment horizontal="center"/>
    </xf>
    <xf numFmtId="0" fontId="55" fillId="0" borderId="0" xfId="3" applyFont="1" applyAlignment="1">
      <alignment horizontal="right"/>
    </xf>
    <xf numFmtId="0" fontId="38" fillId="12" borderId="0" xfId="0" applyFont="1" applyFill="1" applyAlignment="1">
      <alignment horizontal="right"/>
    </xf>
    <xf numFmtId="0" fontId="46" fillId="12" borderId="0" xfId="0" applyFont="1" applyFill="1" applyAlignment="1">
      <alignment horizontal="right"/>
    </xf>
    <xf numFmtId="165" fontId="38" fillId="12" borderId="0" xfId="0" applyNumberFormat="1" applyFont="1" applyFill="1" applyAlignment="1">
      <alignment horizontal="right"/>
    </xf>
    <xf numFmtId="165" fontId="35" fillId="12" borderId="0" xfId="0" applyNumberFormat="1" applyFont="1" applyFill="1" applyAlignment="1">
      <alignment horizontal="right"/>
    </xf>
    <xf numFmtId="169" fontId="38" fillId="12" borderId="0" xfId="0" applyNumberFormat="1" applyFont="1" applyFill="1" applyAlignment="1">
      <alignment horizontal="right"/>
    </xf>
    <xf numFmtId="169" fontId="35" fillId="12" borderId="0" xfId="1" applyNumberFormat="1" applyFont="1" applyFill="1" applyAlignment="1">
      <alignment horizontal="right"/>
    </xf>
    <xf numFmtId="169" fontId="35" fillId="12" borderId="0" xfId="0" applyNumberFormat="1" applyFont="1" applyFill="1" applyAlignment="1">
      <alignment horizontal="right"/>
    </xf>
    <xf numFmtId="168" fontId="35" fillId="12" borderId="0" xfId="0" applyNumberFormat="1" applyFont="1" applyFill="1" applyAlignment="1">
      <alignment horizontal="right"/>
    </xf>
    <xf numFmtId="4" fontId="35" fillId="12" borderId="0" xfId="0" applyNumberFormat="1" applyFont="1" applyFill="1" applyAlignment="1">
      <alignment horizontal="right"/>
    </xf>
    <xf numFmtId="0" fontId="35" fillId="12" borderId="0" xfId="0" applyFont="1" applyFill="1" applyAlignment="1">
      <alignment horizontal="right"/>
    </xf>
    <xf numFmtId="9" fontId="35" fillId="12" borderId="0" xfId="1" applyFont="1" applyFill="1" applyAlignment="1">
      <alignment horizontal="right"/>
    </xf>
    <xf numFmtId="9" fontId="38" fillId="12" borderId="0" xfId="1" applyFont="1" applyFill="1" applyAlignment="1">
      <alignment horizontal="right"/>
    </xf>
    <xf numFmtId="171" fontId="38" fillId="12" borderId="0" xfId="4" applyNumberFormat="1" applyFont="1" applyFill="1" applyAlignment="1">
      <alignment horizontal="right"/>
    </xf>
    <xf numFmtId="9" fontId="35" fillId="12" borderId="0" xfId="0" applyNumberFormat="1" applyFont="1" applyFill="1" applyAlignment="1">
      <alignment horizontal="right"/>
    </xf>
    <xf numFmtId="0" fontId="19" fillId="0" borderId="0" xfId="0" applyFont="1"/>
    <xf numFmtId="9" fontId="30" fillId="0" borderId="0" xfId="0" applyNumberFormat="1" applyFont="1"/>
    <xf numFmtId="14" fontId="49" fillId="0" borderId="0" xfId="0" applyNumberFormat="1" applyFont="1" applyAlignment="1">
      <alignment horizontal="right"/>
    </xf>
    <xf numFmtId="0" fontId="49" fillId="10" borderId="0" xfId="0" applyFont="1" applyFill="1" applyAlignment="1">
      <alignment horizontal="right"/>
    </xf>
    <xf numFmtId="0" fontId="47" fillId="10" borderId="0" xfId="0" applyFont="1" applyFill="1"/>
    <xf numFmtId="0" fontId="48" fillId="10" borderId="0" xfId="0" applyFont="1" applyFill="1" applyAlignment="1">
      <alignment horizontal="right"/>
    </xf>
    <xf numFmtId="9" fontId="48" fillId="10" borderId="0" xfId="0" applyNumberFormat="1" applyFont="1" applyFill="1" applyAlignment="1">
      <alignment horizontal="right"/>
    </xf>
    <xf numFmtId="0" fontId="48" fillId="10" borderId="0" xfId="0" applyFont="1" applyFill="1"/>
    <xf numFmtId="17" fontId="38" fillId="5" borderId="7" xfId="0" applyNumberFormat="1" applyFont="1" applyFill="1" applyBorder="1" applyAlignment="1">
      <alignment horizontal="center"/>
    </xf>
    <xf numFmtId="0" fontId="19" fillId="6" borderId="0" xfId="0" applyFont="1" applyFill="1"/>
    <xf numFmtId="0" fontId="19" fillId="6" borderId="0" xfId="0" applyFont="1" applyFill="1" applyAlignment="1">
      <alignment horizontal="left" indent="1"/>
    </xf>
    <xf numFmtId="0" fontId="19" fillId="0" borderId="0" xfId="0" applyFont="1" applyAlignment="1">
      <alignment horizontal="right"/>
    </xf>
    <xf numFmtId="0" fontId="18" fillId="0" borderId="0" xfId="0" applyFont="1"/>
    <xf numFmtId="0" fontId="18" fillId="0" borderId="0" xfId="0" applyFont="1" applyAlignment="1">
      <alignment horizontal="right"/>
    </xf>
    <xf numFmtId="0" fontId="17" fillId="0" borderId="0" xfId="0" applyFont="1"/>
    <xf numFmtId="0" fontId="56" fillId="0" borderId="0" xfId="0" applyFont="1"/>
    <xf numFmtId="165" fontId="48" fillId="0" borderId="0" xfId="0" applyNumberFormat="1" applyFont="1" applyAlignment="1">
      <alignment horizontal="right"/>
    </xf>
    <xf numFmtId="0" fontId="16" fillId="0" borderId="0" xfId="0" applyFont="1"/>
    <xf numFmtId="9" fontId="16" fillId="0" borderId="0" xfId="1" applyFont="1" applyAlignment="1">
      <alignment horizontal="right"/>
    </xf>
    <xf numFmtId="9" fontId="16" fillId="11" borderId="0" xfId="1" applyFont="1" applyFill="1" applyAlignment="1">
      <alignment horizontal="right"/>
    </xf>
    <xf numFmtId="9" fontId="16" fillId="8" borderId="0" xfId="1" applyFont="1" applyFill="1" applyAlignment="1">
      <alignment horizontal="right"/>
    </xf>
    <xf numFmtId="9" fontId="16" fillId="12" borderId="0" xfId="1" applyFont="1" applyFill="1" applyAlignment="1">
      <alignment horizontal="right"/>
    </xf>
    <xf numFmtId="172" fontId="35" fillId="0" borderId="0" xfId="0" applyNumberFormat="1" applyFont="1" applyAlignment="1">
      <alignment horizontal="right"/>
    </xf>
    <xf numFmtId="0" fontId="57" fillId="0" borderId="0" xfId="3" applyFont="1" applyAlignment="1">
      <alignment horizontal="right"/>
    </xf>
    <xf numFmtId="168" fontId="15" fillId="0" borderId="0" xfId="0" applyNumberFormat="1" applyFont="1" applyAlignment="1">
      <alignment horizontal="right"/>
    </xf>
    <xf numFmtId="9" fontId="47" fillId="8" borderId="0" xfId="1" applyFont="1" applyFill="1" applyAlignment="1">
      <alignment horizontal="right"/>
    </xf>
    <xf numFmtId="9" fontId="48" fillId="8" borderId="0" xfId="1" applyFont="1" applyFill="1" applyAlignment="1">
      <alignment horizontal="right"/>
    </xf>
    <xf numFmtId="171" fontId="38" fillId="8" borderId="0" xfId="4" applyNumberFormat="1" applyFont="1" applyFill="1" applyAlignment="1">
      <alignment horizontal="right"/>
    </xf>
    <xf numFmtId="9" fontId="35" fillId="8" borderId="0" xfId="0" applyNumberFormat="1" applyFont="1" applyFill="1" applyAlignment="1">
      <alignment horizontal="right"/>
    </xf>
    <xf numFmtId="0" fontId="15" fillId="0" borderId="0" xfId="0" applyFont="1"/>
    <xf numFmtId="9" fontId="15" fillId="0" borderId="0" xfId="1" applyFont="1" applyAlignment="1">
      <alignment horizontal="right"/>
    </xf>
    <xf numFmtId="14" fontId="49" fillId="10" borderId="0" xfId="0" applyNumberFormat="1" applyFont="1" applyFill="1" applyAlignment="1">
      <alignment horizontal="right"/>
    </xf>
    <xf numFmtId="166" fontId="47" fillId="10" borderId="0" xfId="4" applyNumberFormat="1" applyFont="1" applyFill="1"/>
    <xf numFmtId="0" fontId="14" fillId="0" borderId="0" xfId="0" applyFont="1"/>
    <xf numFmtId="0" fontId="14" fillId="0" borderId="0" xfId="0" applyFont="1" applyAlignment="1">
      <alignment horizontal="left" indent="1"/>
    </xf>
    <xf numFmtId="0" fontId="14" fillId="6" borderId="7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horizontal="left" indent="2"/>
    </xf>
    <xf numFmtId="3" fontId="38" fillId="0" borderId="0" xfId="0" applyNumberFormat="1" applyFont="1"/>
    <xf numFmtId="0" fontId="13" fillId="0" borderId="0" xfId="0" applyFont="1"/>
    <xf numFmtId="0" fontId="11" fillId="0" borderId="0" xfId="0" applyFont="1"/>
    <xf numFmtId="165" fontId="11" fillId="0" borderId="0" xfId="0" applyNumberFormat="1" applyFont="1"/>
    <xf numFmtId="165" fontId="0" fillId="0" borderId="0" xfId="0" applyNumberFormat="1"/>
    <xf numFmtId="165" fontId="13" fillId="0" borderId="0" xfId="0" applyNumberFormat="1" applyFont="1"/>
    <xf numFmtId="165" fontId="34" fillId="0" borderId="0" xfId="0" applyNumberFormat="1" applyFont="1"/>
    <xf numFmtId="165" fontId="39" fillId="0" borderId="0" xfId="0" applyNumberFormat="1" applyFont="1"/>
    <xf numFmtId="165" fontId="12" fillId="0" borderId="0" xfId="0" applyNumberFormat="1" applyFont="1"/>
    <xf numFmtId="165" fontId="44" fillId="0" borderId="0" xfId="0" applyNumberFormat="1" applyFont="1"/>
    <xf numFmtId="0" fontId="11" fillId="0" borderId="0" xfId="0" applyFont="1" applyAlignment="1">
      <alignment horizontal="right"/>
    </xf>
    <xf numFmtId="165" fontId="11" fillId="0" borderId="0" xfId="0" applyNumberFormat="1" applyFont="1" applyAlignment="1">
      <alignment horizontal="right"/>
    </xf>
    <xf numFmtId="165" fontId="38" fillId="13" borderId="0" xfId="0" applyNumberFormat="1" applyFont="1" applyFill="1"/>
    <xf numFmtId="169" fontId="35" fillId="0" borderId="0" xfId="1" applyNumberFormat="1" applyFont="1" applyFill="1" applyAlignment="1">
      <alignment horizontal="right"/>
    </xf>
    <xf numFmtId="169" fontId="35" fillId="0" borderId="0" xfId="0" applyNumberFormat="1" applyFont="1" applyAlignment="1">
      <alignment horizontal="right"/>
    </xf>
    <xf numFmtId="9" fontId="35" fillId="0" borderId="0" xfId="1" applyFont="1" applyFill="1" applyAlignment="1">
      <alignment horizontal="right"/>
    </xf>
    <xf numFmtId="9" fontId="38" fillId="0" borderId="0" xfId="1" applyFont="1" applyFill="1" applyAlignment="1">
      <alignment horizontal="right"/>
    </xf>
    <xf numFmtId="9" fontId="16" fillId="0" borderId="0" xfId="1" applyFont="1" applyFill="1" applyAlignment="1">
      <alignment horizontal="right"/>
    </xf>
    <xf numFmtId="171" fontId="38" fillId="0" borderId="0" xfId="4" applyNumberFormat="1" applyFont="1" applyFill="1" applyAlignment="1">
      <alignment horizontal="right"/>
    </xf>
    <xf numFmtId="165" fontId="27" fillId="0" borderId="0" xfId="0" applyNumberFormat="1" applyFont="1"/>
    <xf numFmtId="169" fontId="35" fillId="11" borderId="0" xfId="0" applyNumberFormat="1" applyFont="1" applyFill="1"/>
    <xf numFmtId="168" fontId="35" fillId="11" borderId="0" xfId="0" applyNumberFormat="1" applyFont="1" applyFill="1"/>
    <xf numFmtId="0" fontId="38" fillId="11" borderId="0" xfId="0" applyFont="1" applyFill="1"/>
    <xf numFmtId="0" fontId="18" fillId="11" borderId="0" xfId="0" applyFont="1" applyFill="1"/>
    <xf numFmtId="0" fontId="11" fillId="11" borderId="0" xfId="0" applyFont="1" applyFill="1"/>
    <xf numFmtId="0" fontId="55" fillId="0" borderId="0" xfId="3" applyFont="1" applyFill="1" applyAlignment="1">
      <alignment horizontal="right"/>
    </xf>
    <xf numFmtId="165" fontId="9" fillId="0" borderId="0" xfId="0" applyNumberFormat="1" applyFont="1" applyAlignment="1">
      <alignment horizontal="right"/>
    </xf>
    <xf numFmtId="17" fontId="35" fillId="6" borderId="2" xfId="0" applyNumberFormat="1" applyFont="1" applyFill="1" applyBorder="1" applyAlignment="1">
      <alignment horizontal="center"/>
    </xf>
    <xf numFmtId="0" fontId="9" fillId="0" borderId="0" xfId="0" applyFont="1"/>
    <xf numFmtId="0" fontId="38" fillId="14" borderId="0" xfId="0" applyFont="1" applyFill="1" applyAlignment="1">
      <alignment horizontal="right"/>
    </xf>
    <xf numFmtId="0" fontId="46" fillId="14" borderId="0" xfId="0" applyFont="1" applyFill="1" applyAlignment="1">
      <alignment horizontal="right"/>
    </xf>
    <xf numFmtId="165" fontId="38" fillId="14" borderId="0" xfId="0" applyNumberFormat="1" applyFont="1" applyFill="1" applyAlignment="1">
      <alignment horizontal="right"/>
    </xf>
    <xf numFmtId="165" fontId="35" fillId="14" borderId="0" xfId="0" applyNumberFormat="1" applyFont="1" applyFill="1" applyAlignment="1">
      <alignment horizontal="right"/>
    </xf>
    <xf numFmtId="169" fontId="38" fillId="14" borderId="0" xfId="0" applyNumberFormat="1" applyFont="1" applyFill="1" applyAlignment="1">
      <alignment horizontal="right"/>
    </xf>
    <xf numFmtId="169" fontId="35" fillId="14" borderId="0" xfId="1" applyNumberFormat="1" applyFont="1" applyFill="1" applyAlignment="1">
      <alignment horizontal="right"/>
    </xf>
    <xf numFmtId="169" fontId="35" fillId="14" borderId="0" xfId="0" applyNumberFormat="1" applyFont="1" applyFill="1" applyAlignment="1">
      <alignment horizontal="right"/>
    </xf>
    <xf numFmtId="168" fontId="35" fillId="14" borderId="0" xfId="0" applyNumberFormat="1" applyFont="1" applyFill="1" applyAlignment="1">
      <alignment horizontal="right"/>
    </xf>
    <xf numFmtId="4" fontId="35" fillId="14" borderId="0" xfId="0" applyNumberFormat="1" applyFont="1" applyFill="1" applyAlignment="1">
      <alignment horizontal="right"/>
    </xf>
    <xf numFmtId="0" fontId="35" fillId="14" borderId="0" xfId="0" applyFont="1" applyFill="1" applyAlignment="1">
      <alignment horizontal="right"/>
    </xf>
    <xf numFmtId="9" fontId="35" fillId="14" borderId="0" xfId="1" applyFont="1" applyFill="1" applyAlignment="1">
      <alignment horizontal="right"/>
    </xf>
    <xf numFmtId="9" fontId="38" fillId="14" borderId="0" xfId="1" applyFont="1" applyFill="1" applyAlignment="1">
      <alignment horizontal="right"/>
    </xf>
    <xf numFmtId="9" fontId="48" fillId="14" borderId="0" xfId="1" applyFont="1" applyFill="1" applyAlignment="1">
      <alignment horizontal="right"/>
    </xf>
    <xf numFmtId="9" fontId="47" fillId="14" borderId="0" xfId="1" applyFont="1" applyFill="1" applyAlignment="1">
      <alignment horizontal="right"/>
    </xf>
    <xf numFmtId="171" fontId="38" fillId="14" borderId="0" xfId="4" applyNumberFormat="1" applyFont="1" applyFill="1" applyAlignment="1">
      <alignment horizontal="right"/>
    </xf>
    <xf numFmtId="9" fontId="35" fillId="14" borderId="0" xfId="0" applyNumberFormat="1" applyFont="1" applyFill="1" applyAlignment="1">
      <alignment horizontal="right"/>
    </xf>
    <xf numFmtId="9" fontId="9" fillId="0" borderId="0" xfId="1" applyFont="1" applyFill="1"/>
    <xf numFmtId="165" fontId="9" fillId="0" borderId="0" xfId="0" applyNumberFormat="1" applyFont="1"/>
    <xf numFmtId="165" fontId="38" fillId="0" borderId="0" xfId="4" applyNumberFormat="1" applyFont="1" applyFill="1"/>
    <xf numFmtId="14" fontId="58" fillId="0" borderId="0" xfId="0" applyNumberFormat="1" applyFont="1" applyAlignment="1">
      <alignment horizontal="right"/>
    </xf>
    <xf numFmtId="0" fontId="9" fillId="6" borderId="8" xfId="0" applyFont="1" applyFill="1" applyBorder="1" applyAlignment="1">
      <alignment horizontal="center"/>
    </xf>
    <xf numFmtId="0" fontId="9" fillId="0" borderId="0" xfId="0" applyFont="1" applyAlignment="1">
      <alignment horizontal="left" indent="1"/>
    </xf>
    <xf numFmtId="3" fontId="8" fillId="0" borderId="0" xfId="0" applyNumberFormat="1" applyFont="1"/>
    <xf numFmtId="3" fontId="38" fillId="0" borderId="0" xfId="0" applyNumberFormat="1" applyFont="1" applyAlignment="1">
      <alignment horizontal="right"/>
    </xf>
    <xf numFmtId="3" fontId="35" fillId="0" borderId="0" xfId="0" applyNumberFormat="1" applyFont="1" applyAlignment="1">
      <alignment horizontal="right"/>
    </xf>
    <xf numFmtId="3" fontId="35" fillId="0" borderId="0" xfId="0" applyNumberFormat="1" applyFont="1"/>
    <xf numFmtId="3" fontId="35" fillId="12" borderId="0" xfId="0" applyNumberFormat="1" applyFont="1" applyFill="1" applyAlignment="1">
      <alignment horizontal="right"/>
    </xf>
    <xf numFmtId="3" fontId="35" fillId="8" borderId="0" xfId="0" applyNumberFormat="1" applyFont="1" applyFill="1" applyAlignment="1">
      <alignment horizontal="right"/>
    </xf>
    <xf numFmtId="3" fontId="35" fillId="14" borderId="0" xfId="0" applyNumberFormat="1" applyFont="1" applyFill="1" applyAlignment="1">
      <alignment horizontal="right"/>
    </xf>
    <xf numFmtId="3" fontId="35" fillId="11" borderId="0" xfId="0" applyNumberFormat="1" applyFont="1" applyFill="1"/>
    <xf numFmtId="0" fontId="7" fillId="0" borderId="0" xfId="0" applyFont="1"/>
    <xf numFmtId="9" fontId="7" fillId="0" borderId="0" xfId="1" applyFont="1" applyFill="1" applyAlignment="1">
      <alignment horizontal="right"/>
    </xf>
    <xf numFmtId="0" fontId="6" fillId="6" borderId="0" xfId="0" applyFont="1" applyFill="1"/>
    <xf numFmtId="0" fontId="6" fillId="6" borderId="0" xfId="0" applyFont="1" applyFill="1" applyAlignment="1">
      <alignment horizontal="left" indent="1"/>
    </xf>
    <xf numFmtId="165" fontId="47" fillId="0" borderId="0" xfId="1" applyNumberFormat="1" applyFont="1" applyFill="1" applyAlignment="1">
      <alignment horizontal="right"/>
    </xf>
    <xf numFmtId="168" fontId="48" fillId="0" borderId="0" xfId="0" applyNumberFormat="1" applyFont="1" applyAlignment="1">
      <alignment horizontal="right"/>
    </xf>
    <xf numFmtId="9" fontId="47" fillId="0" borderId="0" xfId="1" applyFont="1" applyFill="1" applyAlignment="1">
      <alignment horizontal="right"/>
    </xf>
    <xf numFmtId="3" fontId="48" fillId="0" borderId="0" xfId="0" applyNumberFormat="1" applyFont="1"/>
    <xf numFmtId="165" fontId="48" fillId="0" borderId="0" xfId="1" applyNumberFormat="1" applyFont="1" applyFill="1" applyAlignment="1">
      <alignment horizontal="right"/>
    </xf>
    <xf numFmtId="9" fontId="5" fillId="0" borderId="0" xfId="0" applyNumberFormat="1" applyFont="1"/>
    <xf numFmtId="0" fontId="5" fillId="0" borderId="0" xfId="0" applyFont="1"/>
    <xf numFmtId="165" fontId="5" fillId="0" borderId="0" xfId="0" applyNumberFormat="1" applyFont="1"/>
    <xf numFmtId="0" fontId="47" fillId="14" borderId="0" xfId="0" applyFont="1" applyFill="1" applyAlignment="1">
      <alignment horizontal="right"/>
    </xf>
    <xf numFmtId="165" fontId="47" fillId="14" borderId="0" xfId="1" applyNumberFormat="1" applyFont="1" applyFill="1" applyAlignment="1">
      <alignment horizontal="right"/>
    </xf>
    <xf numFmtId="165" fontId="48" fillId="14" borderId="0" xfId="0" applyNumberFormat="1" applyFont="1" applyFill="1" applyAlignment="1">
      <alignment horizontal="right"/>
    </xf>
    <xf numFmtId="169" fontId="47" fillId="14" borderId="0" xfId="0" applyNumberFormat="1" applyFont="1" applyFill="1" applyAlignment="1">
      <alignment horizontal="right"/>
    </xf>
    <xf numFmtId="169" fontId="48" fillId="14" borderId="0" xfId="1" applyNumberFormat="1" applyFont="1" applyFill="1" applyAlignment="1">
      <alignment horizontal="right"/>
    </xf>
    <xf numFmtId="169" fontId="48" fillId="14" borderId="0" xfId="0" applyNumberFormat="1" applyFont="1" applyFill="1" applyAlignment="1">
      <alignment horizontal="right"/>
    </xf>
    <xf numFmtId="0" fontId="48" fillId="14" borderId="0" xfId="0" applyFont="1" applyFill="1" applyAlignment="1">
      <alignment horizontal="right"/>
    </xf>
    <xf numFmtId="165" fontId="47" fillId="14" borderId="0" xfId="0" applyNumberFormat="1" applyFont="1" applyFill="1" applyAlignment="1">
      <alignment horizontal="right"/>
    </xf>
    <xf numFmtId="168" fontId="48" fillId="14" borderId="0" xfId="0" applyNumberFormat="1" applyFont="1" applyFill="1" applyAlignment="1">
      <alignment horizontal="right"/>
    </xf>
    <xf numFmtId="4" fontId="48" fillId="14" borderId="0" xfId="0" applyNumberFormat="1" applyFont="1" applyFill="1" applyAlignment="1">
      <alignment horizontal="right"/>
    </xf>
    <xf numFmtId="0" fontId="59" fillId="0" borderId="0" xfId="0" applyFont="1"/>
    <xf numFmtId="0" fontId="60" fillId="0" borderId="0" xfId="0" applyFont="1"/>
    <xf numFmtId="0" fontId="59" fillId="0" borderId="0" xfId="0" applyFont="1" applyAlignment="1">
      <alignment horizontal="right"/>
    </xf>
    <xf numFmtId="165" fontId="59" fillId="0" borderId="0" xfId="0" applyNumberFormat="1" applyFont="1" applyAlignment="1">
      <alignment horizontal="right"/>
    </xf>
    <xf numFmtId="0" fontId="59" fillId="11" borderId="0" xfId="0" applyFont="1" applyFill="1"/>
    <xf numFmtId="0" fontId="4" fillId="0" borderId="0" xfId="0" applyFont="1"/>
    <xf numFmtId="0" fontId="48" fillId="0" borderId="0" xfId="0" applyFont="1" applyAlignment="1">
      <alignment horizontal="left" indent="1"/>
    </xf>
    <xf numFmtId="0" fontId="3" fillId="6" borderId="0" xfId="0" applyFont="1" applyFill="1"/>
    <xf numFmtId="0" fontId="55" fillId="0" borderId="2" xfId="3" applyFont="1" applyBorder="1"/>
    <xf numFmtId="0" fontId="61" fillId="0" borderId="0" xfId="0" applyFont="1"/>
    <xf numFmtId="0" fontId="61" fillId="6" borderId="7" xfId="0" applyFont="1" applyFill="1" applyBorder="1"/>
    <xf numFmtId="0" fontId="61" fillId="6" borderId="0" xfId="0" applyFont="1" applyFill="1" applyBorder="1"/>
    <xf numFmtId="0" fontId="61" fillId="6" borderId="2" xfId="0" applyFont="1" applyFill="1" applyBorder="1"/>
    <xf numFmtId="0" fontId="61" fillId="6" borderId="8" xfId="0" applyFont="1" applyFill="1" applyBorder="1"/>
    <xf numFmtId="0" fontId="61" fillId="6" borderId="1" xfId="0" applyFont="1" applyFill="1" applyBorder="1"/>
    <xf numFmtId="0" fontId="61" fillId="6" borderId="3" xfId="0" applyFont="1" applyFill="1" applyBorder="1"/>
    <xf numFmtId="0" fontId="61" fillId="6" borderId="7" xfId="0" applyFont="1" applyFill="1" applyBorder="1" applyAlignment="1">
      <alignment horizontal="left" indent="1"/>
    </xf>
    <xf numFmtId="0" fontId="2" fillId="6" borderId="7" xfId="0" applyFont="1" applyFill="1" applyBorder="1"/>
    <xf numFmtId="0" fontId="64" fillId="6" borderId="7" xfId="0" applyFont="1" applyFill="1" applyBorder="1"/>
    <xf numFmtId="0" fontId="65" fillId="6" borderId="7" xfId="0" applyFont="1" applyFill="1" applyBorder="1"/>
    <xf numFmtId="0" fontId="66" fillId="6" borderId="7" xfId="0" applyFont="1" applyFill="1" applyBorder="1" applyAlignment="1">
      <alignment horizontal="left" indent="1"/>
    </xf>
    <xf numFmtId="0" fontId="66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1"/>
    </xf>
    <xf numFmtId="0" fontId="61" fillId="6" borderId="8" xfId="0" applyFont="1" applyFill="1" applyBorder="1" applyAlignment="1">
      <alignment horizontal="left" indent="2"/>
    </xf>
    <xf numFmtId="0" fontId="63" fillId="6" borderId="7" xfId="0" applyFont="1" applyFill="1" applyBorder="1"/>
    <xf numFmtId="0" fontId="42" fillId="0" borderId="0" xfId="3" applyAlignment="1">
      <alignment horizontal="right"/>
    </xf>
    <xf numFmtId="0" fontId="1" fillId="0" borderId="2" xfId="5" applyFont="1" applyFill="1" applyBorder="1" applyAlignment="1">
      <alignment horizontal="right"/>
    </xf>
    <xf numFmtId="0" fontId="1" fillId="6" borderId="0" xfId="0" applyFont="1" applyFill="1" applyAlignment="1">
      <alignment horizontal="center"/>
    </xf>
    <xf numFmtId="0" fontId="28" fillId="6" borderId="0" xfId="0" applyFont="1" applyFill="1" applyAlignment="1">
      <alignment horizontal="center"/>
    </xf>
    <xf numFmtId="0" fontId="35" fillId="6" borderId="2" xfId="0" applyFont="1" applyFill="1" applyBorder="1" applyAlignment="1">
      <alignment horizontal="center"/>
    </xf>
    <xf numFmtId="0" fontId="38" fillId="4" borderId="4" xfId="0" applyFont="1" applyFill="1" applyBorder="1" applyAlignment="1">
      <alignment horizontal="center"/>
    </xf>
    <xf numFmtId="0" fontId="38" fillId="4" borderId="5" xfId="0" applyFont="1" applyFill="1" applyBorder="1" applyAlignment="1">
      <alignment horizontal="center"/>
    </xf>
    <xf numFmtId="0" fontId="38" fillId="4" borderId="6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35" fillId="6" borderId="0" xfId="0" applyFont="1" applyFill="1" applyAlignment="1">
      <alignment horizontal="center"/>
    </xf>
    <xf numFmtId="3" fontId="35" fillId="6" borderId="0" xfId="0" applyNumberFormat="1" applyFont="1" applyFill="1" applyAlignment="1">
      <alignment horizontal="center"/>
    </xf>
    <xf numFmtId="3" fontId="35" fillId="6" borderId="2" xfId="0" applyNumberFormat="1" applyFont="1" applyFill="1" applyBorder="1" applyAlignment="1">
      <alignment horizontal="center"/>
    </xf>
    <xf numFmtId="0" fontId="42" fillId="6" borderId="1" xfId="3" applyFill="1" applyBorder="1" applyAlignment="1">
      <alignment horizontal="center"/>
    </xf>
    <xf numFmtId="0" fontId="42" fillId="6" borderId="3" xfId="3" applyFill="1" applyBorder="1" applyAlignment="1">
      <alignment horizontal="center"/>
    </xf>
    <xf numFmtId="0" fontId="50" fillId="6" borderId="9" xfId="0" applyFont="1" applyFill="1" applyBorder="1" applyAlignment="1">
      <alignment horizontal="center"/>
    </xf>
    <xf numFmtId="0" fontId="50" fillId="6" borderId="11" xfId="0" applyFont="1" applyFill="1" applyBorder="1" applyAlignment="1">
      <alignment horizontal="center"/>
    </xf>
    <xf numFmtId="0" fontId="50" fillId="6" borderId="10" xfId="0" applyFont="1" applyFill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1" xfId="0" applyFont="1" applyBorder="1" applyAlignment="1">
      <alignment horizontal="center"/>
    </xf>
    <xf numFmtId="0" fontId="50" fillId="0" borderId="10" xfId="0" applyFont="1" applyBorder="1" applyAlignment="1">
      <alignment horizontal="center"/>
    </xf>
    <xf numFmtId="0" fontId="27" fillId="6" borderId="0" xfId="0" applyFont="1" applyFill="1" applyAlignment="1">
      <alignment horizontal="center"/>
    </xf>
    <xf numFmtId="0" fontId="27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172" fontId="35" fillId="6" borderId="0" xfId="0" applyNumberFormat="1" applyFont="1" applyFill="1" applyAlignment="1">
      <alignment horizontal="center"/>
    </xf>
    <xf numFmtId="172" fontId="35" fillId="6" borderId="2" xfId="0" applyNumberFormat="1" applyFont="1" applyFill="1" applyBorder="1" applyAlignment="1">
      <alignment horizontal="center"/>
    </xf>
    <xf numFmtId="172" fontId="35" fillId="6" borderId="1" xfId="0" applyNumberFormat="1" applyFont="1" applyFill="1" applyBorder="1" applyAlignment="1">
      <alignment horizontal="center"/>
    </xf>
    <xf numFmtId="172" fontId="35" fillId="6" borderId="3" xfId="0" applyNumberFormat="1" applyFont="1" applyFill="1" applyBorder="1" applyAlignment="1">
      <alignment horizontal="center"/>
    </xf>
    <xf numFmtId="0" fontId="35" fillId="6" borderId="1" xfId="0" applyFont="1" applyFill="1" applyBorder="1" applyAlignment="1">
      <alignment horizontal="center"/>
    </xf>
    <xf numFmtId="0" fontId="35" fillId="6" borderId="3" xfId="0" applyFont="1" applyFill="1" applyBorder="1" applyAlignment="1">
      <alignment horizontal="center"/>
    </xf>
    <xf numFmtId="0" fontId="62" fillId="15" borderId="4" xfId="0" applyFont="1" applyFill="1" applyBorder="1" applyAlignment="1">
      <alignment horizontal="center"/>
    </xf>
    <xf numFmtId="0" fontId="62" fillId="15" borderId="5" xfId="0" applyFont="1" applyFill="1" applyBorder="1" applyAlignment="1">
      <alignment horizontal="center"/>
    </xf>
    <xf numFmtId="0" fontId="62" fillId="15" borderId="6" xfId="0" applyFont="1" applyFill="1" applyBorder="1" applyAlignment="1">
      <alignment horizontal="center"/>
    </xf>
    <xf numFmtId="166" fontId="38" fillId="0" borderId="0" xfId="0" applyNumberFormat="1" applyFont="1"/>
  </cellXfs>
  <cellStyles count="6">
    <cellStyle name="20% - Accent3" xfId="5" builtinId="38"/>
    <cellStyle name="Comma" xfId="4" builtinId="3"/>
    <cellStyle name="Hyperlink" xfId="3" builtinId="8"/>
    <cellStyle name="Neutral" xfId="2" builtinId="2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CA09F"/>
      <color rgb="FFFF7C80"/>
      <color rgb="FFFF2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Metrics!$B$2</c:f>
              <c:strCache>
                <c:ptCount val="1"/>
                <c:pt idx="0">
                  <c:v>DAU</c:v>
                </c:pt>
              </c:strCache>
            </c:strRef>
          </c:tx>
          <c:spPr>
            <a:ln w="19050" cap="rnd" cmpd="sng" algn="ctr">
              <a:solidFill>
                <a:schemeClr val="accent1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Metrics!$D$1:$W$1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</c:strCache>
            </c:strRef>
          </c:cat>
          <c:val>
            <c:numRef>
              <c:f>Metrics!$D$2:$W$2</c:f>
              <c:numCache>
                <c:formatCode>General</c:formatCode>
                <c:ptCount val="20"/>
                <c:pt idx="0">
                  <c:v>15.8</c:v>
                </c:pt>
                <c:pt idx="1">
                  <c:v>17.100000000000001</c:v>
                </c:pt>
                <c:pt idx="2">
                  <c:v>18.399999999999999</c:v>
                </c:pt>
                <c:pt idx="3">
                  <c:v>19.100000000000001</c:v>
                </c:pt>
                <c:pt idx="4">
                  <c:v>23.6</c:v>
                </c:pt>
                <c:pt idx="5">
                  <c:v>33.4</c:v>
                </c:pt>
                <c:pt idx="6">
                  <c:v>36.200000000000003</c:v>
                </c:pt>
                <c:pt idx="7">
                  <c:v>37.1</c:v>
                </c:pt>
                <c:pt idx="8">
                  <c:v>42.1</c:v>
                </c:pt>
                <c:pt idx="9">
                  <c:v>43.2</c:v>
                </c:pt>
                <c:pt idx="10">
                  <c:v>47.3</c:v>
                </c:pt>
                <c:pt idx="11">
                  <c:v>49.5</c:v>
                </c:pt>
                <c:pt idx="12">
                  <c:v>54.1</c:v>
                </c:pt>
                <c:pt idx="13">
                  <c:v>52.2</c:v>
                </c:pt>
                <c:pt idx="14">
                  <c:v>58.8</c:v>
                </c:pt>
                <c:pt idx="15">
                  <c:v>58.8</c:v>
                </c:pt>
                <c:pt idx="16">
                  <c:v>66.099999999999994</c:v>
                </c:pt>
                <c:pt idx="17">
                  <c:v>65.5</c:v>
                </c:pt>
                <c:pt idx="18">
                  <c:v>70.2</c:v>
                </c:pt>
                <c:pt idx="19">
                  <c:v>71.5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3B-47A5-97FF-255F2AC0DE95}"/>
            </c:ext>
          </c:extLst>
        </c:ser>
        <c:ser>
          <c:idx val="1"/>
          <c:order val="1"/>
          <c:tx>
            <c:strRef>
              <c:f>Metrics!$B$6</c:f>
              <c:strCache>
                <c:ptCount val="1"/>
                <c:pt idx="0">
                  <c:v>DAU &lt;= 13</c:v>
                </c:pt>
              </c:strCache>
            </c:strRef>
          </c:tx>
          <c:spPr>
            <a:ln w="19050" cap="rnd" cmpd="sng" algn="ctr">
              <a:solidFill>
                <a:schemeClr val="accent2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Metrics!$D$1:$W$1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</c:strCache>
            </c:strRef>
          </c:cat>
          <c:val>
            <c:numRef>
              <c:f>Metrics!$D$6:$V$6</c:f>
              <c:numCache>
                <c:formatCode>General</c:formatCode>
                <c:ptCount val="19"/>
                <c:pt idx="0">
                  <c:v>9</c:v>
                </c:pt>
                <c:pt idx="1">
                  <c:v>9.9</c:v>
                </c:pt>
                <c:pt idx="2">
                  <c:v>10.8</c:v>
                </c:pt>
                <c:pt idx="3">
                  <c:v>11</c:v>
                </c:pt>
                <c:pt idx="4">
                  <c:v>13.3</c:v>
                </c:pt>
                <c:pt idx="5">
                  <c:v>17.899999999999999</c:v>
                </c:pt>
                <c:pt idx="6">
                  <c:v>19.3</c:v>
                </c:pt>
                <c:pt idx="7">
                  <c:v>19.5</c:v>
                </c:pt>
                <c:pt idx="8">
                  <c:v>21.3</c:v>
                </c:pt>
                <c:pt idx="9">
                  <c:v>21.5</c:v>
                </c:pt>
                <c:pt idx="10">
                  <c:v>23.1</c:v>
                </c:pt>
                <c:pt idx="11">
                  <c:v>23.6</c:v>
                </c:pt>
                <c:pt idx="12">
                  <c:v>25.5</c:v>
                </c:pt>
                <c:pt idx="13">
                  <c:v>24.2</c:v>
                </c:pt>
                <c:pt idx="14">
                  <c:v>26.4</c:v>
                </c:pt>
                <c:pt idx="15">
                  <c:v>26</c:v>
                </c:pt>
                <c:pt idx="16">
                  <c:v>28.7</c:v>
                </c:pt>
                <c:pt idx="17">
                  <c:v>28.2</c:v>
                </c:pt>
                <c:pt idx="18">
                  <c:v>29.7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3B-47A5-97FF-255F2AC0DE95}"/>
            </c:ext>
          </c:extLst>
        </c:ser>
        <c:ser>
          <c:idx val="2"/>
          <c:order val="2"/>
          <c:tx>
            <c:strRef>
              <c:f>Metrics!$B$10</c:f>
              <c:strCache>
                <c:ptCount val="1"/>
                <c:pt idx="0">
                  <c:v>DAU &gt; 13</c:v>
                </c:pt>
              </c:strCache>
            </c:strRef>
          </c:tx>
          <c:spPr>
            <a:ln w="19050" cap="rnd" cmpd="sng" algn="ctr">
              <a:solidFill>
                <a:schemeClr val="accent3">
                  <a:shade val="95000"/>
                  <a:satMod val="105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l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3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Metrics!$D$1:$W$1</c:f>
              <c:strCache>
                <c:ptCount val="20"/>
                <c:pt idx="0">
                  <c:v>Q119</c:v>
                </c:pt>
                <c:pt idx="1">
                  <c:v>Q219</c:v>
                </c:pt>
                <c:pt idx="2">
                  <c:v>Q319</c:v>
                </c:pt>
                <c:pt idx="3">
                  <c:v>Q419</c:v>
                </c:pt>
                <c:pt idx="4">
                  <c:v>Q120</c:v>
                </c:pt>
                <c:pt idx="5">
                  <c:v>Q220</c:v>
                </c:pt>
                <c:pt idx="6">
                  <c:v>Q320</c:v>
                </c:pt>
                <c:pt idx="7">
                  <c:v>Q420</c:v>
                </c:pt>
                <c:pt idx="8">
                  <c:v>Q121</c:v>
                </c:pt>
                <c:pt idx="9">
                  <c:v>Q221</c:v>
                </c:pt>
                <c:pt idx="10">
                  <c:v>Q321</c:v>
                </c:pt>
                <c:pt idx="11">
                  <c:v>Q421</c:v>
                </c:pt>
                <c:pt idx="12">
                  <c:v>Q122</c:v>
                </c:pt>
                <c:pt idx="13">
                  <c:v>Q222</c:v>
                </c:pt>
                <c:pt idx="14">
                  <c:v>Q322</c:v>
                </c:pt>
                <c:pt idx="15">
                  <c:v>Q422</c:v>
                </c:pt>
                <c:pt idx="16">
                  <c:v>Q123</c:v>
                </c:pt>
                <c:pt idx="17">
                  <c:v>Q223</c:v>
                </c:pt>
                <c:pt idx="18">
                  <c:v>Q323</c:v>
                </c:pt>
                <c:pt idx="19">
                  <c:v>Q423</c:v>
                </c:pt>
              </c:strCache>
            </c:strRef>
          </c:cat>
          <c:val>
            <c:numRef>
              <c:f>Metrics!$D$10:$V$10</c:f>
              <c:numCache>
                <c:formatCode>General</c:formatCode>
                <c:ptCount val="19"/>
                <c:pt idx="0">
                  <c:v>6.4</c:v>
                </c:pt>
                <c:pt idx="1">
                  <c:v>6.7</c:v>
                </c:pt>
                <c:pt idx="2">
                  <c:v>7.1</c:v>
                </c:pt>
                <c:pt idx="3">
                  <c:v>7.7</c:v>
                </c:pt>
                <c:pt idx="4">
                  <c:v>9.6999999999999993</c:v>
                </c:pt>
                <c:pt idx="5">
                  <c:v>7.7</c:v>
                </c:pt>
                <c:pt idx="6">
                  <c:v>9.6999999999999993</c:v>
                </c:pt>
                <c:pt idx="7">
                  <c:v>16.100000000000001</c:v>
                </c:pt>
                <c:pt idx="8">
                  <c:v>17.2</c:v>
                </c:pt>
                <c:pt idx="9">
                  <c:v>21.4</c:v>
                </c:pt>
                <c:pt idx="10">
                  <c:v>23.8</c:v>
                </c:pt>
                <c:pt idx="11">
                  <c:v>25.6</c:v>
                </c:pt>
                <c:pt idx="12">
                  <c:v>28.3</c:v>
                </c:pt>
                <c:pt idx="13">
                  <c:v>27.7</c:v>
                </c:pt>
                <c:pt idx="14">
                  <c:v>31.9</c:v>
                </c:pt>
                <c:pt idx="15">
                  <c:v>32.4</c:v>
                </c:pt>
                <c:pt idx="16">
                  <c:v>36.9</c:v>
                </c:pt>
                <c:pt idx="17">
                  <c:v>36.799999999999997</c:v>
                </c:pt>
                <c:pt idx="1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3B-47A5-97FF-255F2AC0DE9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98978575"/>
        <c:axId val="1945170479"/>
      </c:lineChart>
      <c:catAx>
        <c:axId val="1398978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5170479"/>
        <c:crosses val="autoZero"/>
        <c:auto val="1"/>
        <c:lblAlgn val="ctr"/>
        <c:lblOffset val="100"/>
        <c:noMultiLvlLbl val="0"/>
      </c:catAx>
      <c:valAx>
        <c:axId val="1945170479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98978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cs:styleClr val="auto"/>
    </cs:fontRef>
    <cs:spPr/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 w="9575">
        <a:solidFill>
          <a:schemeClr val="lt1">
            <a:lumMod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19050" cap="rnd" cmpd="sng" algn="ctr">
        <a:solidFill>
          <a:schemeClr val="phClr">
            <a:shade val="95000"/>
            <a:satMod val="105000"/>
          </a:schemeClr>
        </a:solidFill>
        <a:round/>
      </a:ln>
    </cs:spPr>
  </cs:dataPointLine>
  <cs:dataPointMarker>
    <cs:lnRef idx="0"/>
    <cs:fillRef idx="0"/>
    <cs:effectRef idx="0"/>
    <cs:fontRef idx="minor">
      <a:schemeClr val="dk1"/>
    </cs:fontRef>
    <cs:spPr>
      <a:solidFill>
        <a:schemeClr val="lt1"/>
      </a:solidFill>
    </cs:spPr>
  </cs:dataPointMarker>
  <cs:dataPointMarkerLayout symbol="circle" size="17"/>
  <cs:dataPointWireframe>
    <cs:lnRef idx="0">
      <cs:styleClr val="auto"/>
    </cs:lnRef>
    <cs:fillRef idx="1"/>
    <cs:effectRef idx="0"/>
    <cs:fontRef idx="minor">
      <a:schemeClr val="dk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/>
    </cs:fontRef>
    <cs:defRPr sz="1440" b="0" kern="1200" cap="all" spc="0" baseline="0">
      <a:gradFill>
        <a:gsLst>
          <a:gs pos="0">
            <a:schemeClr val="dk1">
              <a:lumMod val="50000"/>
              <a:lumOff val="50000"/>
            </a:schemeClr>
          </a:gs>
          <a:gs pos="100000">
            <a:schemeClr val="dk1">
              <a:lumMod val="85000"/>
              <a:lumOff val="15000"/>
            </a:schemeClr>
          </a:gs>
        </a:gsLst>
        <a:lin ang="5400000" scaled="0"/>
      </a:gradFill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13240</xdr:colOff>
      <xdr:row>1</xdr:row>
      <xdr:rowOff>63501</xdr:rowOff>
    </xdr:from>
    <xdr:to>
      <xdr:col>6</xdr:col>
      <xdr:colOff>685799</xdr:colOff>
      <xdr:row>2</xdr:row>
      <xdr:rowOff>177800</xdr:rowOff>
    </xdr:to>
    <xdr:pic>
      <xdr:nvPicPr>
        <xdr:cNvPr id="5" name="Picture 4" descr="Xbox cover art featuring a virtual avatar escaping prison">
          <a:extLst>
            <a:ext uri="{FF2B5EF4-FFF2-40B4-BE49-F238E27FC236}">
              <a16:creationId xmlns:a16="http://schemas.microsoft.com/office/drawing/2014/main" id="{70FAA1F4-3FAD-23D3-FD4D-03EE665279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56440" y="254001"/>
          <a:ext cx="2044159" cy="3555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540315</xdr:colOff>
      <xdr:row>22</xdr:row>
      <xdr:rowOff>3175</xdr:rowOff>
    </xdr:from>
    <xdr:to>
      <xdr:col>37</xdr:col>
      <xdr:colOff>523170</xdr:colOff>
      <xdr:row>47</xdr:row>
      <xdr:rowOff>130175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209444F-7696-149A-89B9-20CFCC35A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85215" y="4270375"/>
          <a:ext cx="10279380" cy="4889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9525</xdr:colOff>
      <xdr:row>0</xdr:row>
      <xdr:rowOff>0</xdr:rowOff>
    </xdr:from>
    <xdr:to>
      <xdr:col>18</xdr:col>
      <xdr:colOff>9525</xdr:colOff>
      <xdr:row>134</xdr:row>
      <xdr:rowOff>104775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30D5E7B-6928-C241-B324-F91AAB26C459}"/>
            </a:ext>
          </a:extLst>
        </xdr:cNvPr>
        <xdr:cNvCxnSpPr/>
      </xdr:nvCxnSpPr>
      <xdr:spPr>
        <a:xfrm>
          <a:off x="14106525" y="0"/>
          <a:ext cx="0" cy="26327100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19050</xdr:colOff>
      <xdr:row>0</xdr:row>
      <xdr:rowOff>0</xdr:rowOff>
    </xdr:from>
    <xdr:to>
      <xdr:col>29</xdr:col>
      <xdr:colOff>19050</xdr:colOff>
      <xdr:row>130</xdr:row>
      <xdr:rowOff>114300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AF391E3-817E-0647-A121-07AB65105894}"/>
            </a:ext>
          </a:extLst>
        </xdr:cNvPr>
        <xdr:cNvCxnSpPr/>
      </xdr:nvCxnSpPr>
      <xdr:spPr>
        <a:xfrm>
          <a:off x="18392775" y="0"/>
          <a:ext cx="0" cy="23955375"/>
        </a:xfrm>
        <a:prstGeom prst="line">
          <a:avLst/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9525</xdr:colOff>
      <xdr:row>0</xdr:row>
      <xdr:rowOff>0</xdr:rowOff>
    </xdr:from>
    <xdr:to>
      <xdr:col>29</xdr:col>
      <xdr:colOff>9525</xdr:colOff>
      <xdr:row>53</xdr:row>
      <xdr:rowOff>66675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6FB744E9-1B16-8E43-AA70-383D0140D639}"/>
            </a:ext>
          </a:extLst>
        </xdr:cNvPr>
        <xdr:cNvCxnSpPr/>
      </xdr:nvCxnSpPr>
      <xdr:spPr>
        <a:xfrm>
          <a:off x="20840700" y="0"/>
          <a:ext cx="0" cy="10163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95255</xdr:colOff>
      <xdr:row>22</xdr:row>
      <xdr:rowOff>28574</xdr:rowOff>
    </xdr:from>
    <xdr:to>
      <xdr:col>17</xdr:col>
      <xdr:colOff>447674</xdr:colOff>
      <xdr:row>50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A021EF-E18F-4CFB-9F73-1A4A8B951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r.roblox.com/financials/sec-filings/default.aspx" TargetMode="External"/><Relationship Id="rId2" Type="http://schemas.openxmlformats.org/officeDocument/2006/relationships/hyperlink" Target="https://d18rn0p25nwr6d.cloudfront.net/CIK-0001315098/6af8d034-0014-4cf6-a720-eb0aef28a9af.html" TargetMode="External"/><Relationship Id="rId1" Type="http://schemas.openxmlformats.org/officeDocument/2006/relationships/hyperlink" Target="https://backlinko.com/roblox-users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ir.roblox.com/news/news-details/2023/Roblox-Reports-Fourth-Quarter-and-Full-Year-2022-Financial-Results/default.aspx" TargetMode="External"/><Relationship Id="rId7" Type="http://schemas.openxmlformats.org/officeDocument/2006/relationships/hyperlink" Target="https://d18rn0p25nwr6d.cloudfront.net/CIK-0001315098/7e460a2f-ce24-4174-883d-0469c2415d1e.pdf" TargetMode="External"/><Relationship Id="rId2" Type="http://schemas.openxmlformats.org/officeDocument/2006/relationships/hyperlink" Target="https://d18rn0p25nwr6d.cloudfront.net/CIK-0001315098/8484d821-30ff-42cb-9c95-4acf1204606a.pdf" TargetMode="External"/><Relationship Id="rId1" Type="http://schemas.openxmlformats.org/officeDocument/2006/relationships/hyperlink" Target="https://ir.roblox.com/files/doc_financials/2022/q2/RBLX-2022.08.09-Earnings-release-FINAL.docx.pdf" TargetMode="External"/><Relationship Id="rId6" Type="http://schemas.openxmlformats.org/officeDocument/2006/relationships/hyperlink" Target="https://d18rn0p25nwr6d.cloudfront.net/CIK-0001315098/97650973-20cd-4f99-9fda-286865e75af7.pdf" TargetMode="External"/><Relationship Id="rId5" Type="http://schemas.openxmlformats.org/officeDocument/2006/relationships/hyperlink" Target="https://d18rn0p25nwr6d.cloudfront.net/CIK-0001315098/20ba7901-06ee-4e96-a6ed-c50b06b3420e.pdf" TargetMode="External"/><Relationship Id="rId4" Type="http://schemas.openxmlformats.org/officeDocument/2006/relationships/hyperlink" Target="https://d18rn0p25nwr6d.cloudfront.net/CIK-0001315098/009355d7-bad2-4a2d-8632-20d5bd6f7d22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s://www.statista.com/statistics/1190309/daily-active-users-worldwide-roblox/" TargetMode="External"/><Relationship Id="rId1" Type="http://schemas.openxmlformats.org/officeDocument/2006/relationships/hyperlink" Target="https://www.statista.com/statistics/1190309/daily-active-users-worldwide-roblox/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4A73D-2F46-7341-9C57-6E5B7A39A15C}">
  <dimension ref="B1:AL97"/>
  <sheetViews>
    <sheetView zoomScaleNormal="100" workbookViewId="0">
      <selection activeCell="G17" sqref="G17:H20"/>
    </sheetView>
  </sheetViews>
  <sheetFormatPr defaultColWidth="9" defaultRowHeight="15" x14ac:dyDescent="0.25"/>
  <cols>
    <col min="1" max="1" width="9" style="6"/>
    <col min="2" max="2" width="11.375" style="6" customWidth="1"/>
    <col min="3" max="8" width="9" style="6"/>
    <col min="9" max="9" width="9" style="6" customWidth="1"/>
    <col min="10" max="10" width="12.625" style="6" bestFit="1" customWidth="1"/>
    <col min="11" max="11" width="18.125" style="6" bestFit="1" customWidth="1"/>
    <col min="12" max="14" width="9.125" style="6" bestFit="1" customWidth="1"/>
    <col min="15" max="22" width="9.125" style="6" customWidth="1"/>
    <col min="23" max="23" width="9.125" style="6" bestFit="1" customWidth="1"/>
    <col min="24" max="16384" width="9" style="6"/>
  </cols>
  <sheetData>
    <row r="1" spans="2:38" x14ac:dyDescent="0.25">
      <c r="L1" s="325" t="s">
        <v>125</v>
      </c>
      <c r="M1" s="326"/>
      <c r="N1" s="326"/>
      <c r="O1" s="326"/>
      <c r="P1" s="326"/>
      <c r="Q1" s="326"/>
      <c r="R1" s="326"/>
      <c r="S1" s="326"/>
      <c r="T1" s="326"/>
      <c r="U1" s="327"/>
      <c r="W1" s="328" t="s">
        <v>127</v>
      </c>
      <c r="X1" s="329"/>
      <c r="Y1" s="329"/>
      <c r="Z1" s="329"/>
      <c r="AA1" s="329"/>
      <c r="AB1" s="329"/>
      <c r="AC1" s="329"/>
      <c r="AD1" s="329"/>
      <c r="AE1" s="329"/>
      <c r="AF1" s="329"/>
      <c r="AG1" s="329"/>
      <c r="AH1" s="329"/>
      <c r="AI1" s="329"/>
      <c r="AJ1" s="329"/>
      <c r="AK1" s="329"/>
      <c r="AL1" s="330"/>
    </row>
    <row r="2" spans="2:38" ht="18.75" x14ac:dyDescent="0.3">
      <c r="B2" s="17" t="s">
        <v>57</v>
      </c>
      <c r="K2" s="60"/>
      <c r="L2" s="59" t="s">
        <v>123</v>
      </c>
      <c r="M2" s="59" t="s">
        <v>124</v>
      </c>
      <c r="N2" s="102"/>
      <c r="O2" s="59" t="s">
        <v>190</v>
      </c>
      <c r="P2" s="59" t="s">
        <v>186</v>
      </c>
      <c r="Q2" s="170"/>
      <c r="R2" s="169">
        <v>44757</v>
      </c>
      <c r="S2" s="169">
        <v>44788</v>
      </c>
      <c r="T2" s="169"/>
      <c r="U2" s="198"/>
    </row>
    <row r="3" spans="2:38" ht="15.75" x14ac:dyDescent="0.25">
      <c r="B3" s="44" t="s">
        <v>111</v>
      </c>
      <c r="K3" s="29" t="s">
        <v>81</v>
      </c>
      <c r="L3" s="53">
        <v>44562</v>
      </c>
      <c r="M3" s="53">
        <v>44593</v>
      </c>
      <c r="N3" s="103">
        <v>44621</v>
      </c>
      <c r="O3" s="53">
        <v>44652</v>
      </c>
      <c r="P3" s="53">
        <v>44682</v>
      </c>
      <c r="Q3" s="103">
        <v>44713</v>
      </c>
      <c r="R3" s="53">
        <v>44743</v>
      </c>
      <c r="S3" s="53">
        <v>44774</v>
      </c>
      <c r="T3" s="53">
        <v>44805</v>
      </c>
      <c r="U3" s="103">
        <v>44835</v>
      </c>
      <c r="V3" s="25"/>
      <c r="W3" s="25" t="s">
        <v>72</v>
      </c>
      <c r="X3" s="25" t="s">
        <v>71</v>
      </c>
      <c r="Y3" s="25" t="s">
        <v>70</v>
      </c>
      <c r="Z3" s="25" t="s">
        <v>69</v>
      </c>
      <c r="AA3" s="25" t="s">
        <v>68</v>
      </c>
      <c r="AB3" s="25" t="s">
        <v>67</v>
      </c>
      <c r="AC3" s="25" t="s">
        <v>66</v>
      </c>
      <c r="AD3" s="25" t="s">
        <v>65</v>
      </c>
      <c r="AE3" s="25" t="s">
        <v>32</v>
      </c>
      <c r="AF3" s="25" t="s">
        <v>10</v>
      </c>
      <c r="AG3" s="25" t="s">
        <v>11</v>
      </c>
      <c r="AH3" s="25" t="s">
        <v>12</v>
      </c>
      <c r="AI3" s="25" t="s">
        <v>6</v>
      </c>
      <c r="AJ3" s="25" t="s">
        <v>8</v>
      </c>
      <c r="AK3" s="25" t="s">
        <v>13</v>
      </c>
      <c r="AL3" s="25" t="s">
        <v>109</v>
      </c>
    </row>
    <row r="4" spans="2:38" x14ac:dyDescent="0.25">
      <c r="J4" s="30" t="s">
        <v>87</v>
      </c>
      <c r="K4" s="26" t="s">
        <v>62</v>
      </c>
      <c r="L4" s="54">
        <v>54.7</v>
      </c>
      <c r="M4" s="54">
        <v>55.1</v>
      </c>
      <c r="N4" s="104"/>
      <c r="O4" s="54">
        <v>53.1</v>
      </c>
      <c r="P4" s="54">
        <v>50.4</v>
      </c>
      <c r="Q4" s="171"/>
      <c r="R4" s="54">
        <v>58.5</v>
      </c>
      <c r="S4" s="54">
        <v>59.9</v>
      </c>
      <c r="T4" s="54">
        <v>57.8</v>
      </c>
      <c r="U4" s="171"/>
      <c r="V4" s="1"/>
      <c r="W4" s="1">
        <v>13.7</v>
      </c>
      <c r="X4" s="1">
        <v>15.8</v>
      </c>
      <c r="Y4" s="1">
        <v>17.100000000000001</v>
      </c>
      <c r="Z4" s="1">
        <v>18.399999999999999</v>
      </c>
      <c r="AA4" s="1">
        <v>19.100000000000001</v>
      </c>
      <c r="AB4" s="1">
        <v>23.6</v>
      </c>
      <c r="AC4" s="1">
        <v>33.4</v>
      </c>
      <c r="AD4" s="1">
        <v>36.200000000000003</v>
      </c>
      <c r="AE4" s="1">
        <v>37.1</v>
      </c>
      <c r="AF4" s="1">
        <v>42.1</v>
      </c>
      <c r="AG4" s="1">
        <v>43.2</v>
      </c>
      <c r="AH4" s="1">
        <v>47.3</v>
      </c>
      <c r="AI4" s="1">
        <v>49.5</v>
      </c>
      <c r="AJ4" s="1">
        <v>54.1</v>
      </c>
      <c r="AK4" s="1">
        <v>52.2</v>
      </c>
      <c r="AL4" s="1">
        <v>58.8</v>
      </c>
    </row>
    <row r="5" spans="2:38" x14ac:dyDescent="0.25">
      <c r="B5" s="316" t="s">
        <v>82</v>
      </c>
      <c r="C5" s="317"/>
      <c r="D5" s="318"/>
      <c r="F5" s="316" t="s">
        <v>193</v>
      </c>
      <c r="G5" s="317"/>
      <c r="H5" s="318"/>
      <c r="K5" s="27" t="s">
        <v>73</v>
      </c>
      <c r="L5" s="55" t="s">
        <v>33</v>
      </c>
      <c r="M5" s="55" t="s">
        <v>33</v>
      </c>
      <c r="N5" s="105"/>
      <c r="O5" s="55" t="s">
        <v>33</v>
      </c>
      <c r="P5" s="55" t="s">
        <v>33</v>
      </c>
      <c r="Q5" s="172" t="s">
        <v>33</v>
      </c>
      <c r="R5" s="55" t="s">
        <v>33</v>
      </c>
      <c r="S5" s="55" t="s">
        <v>33</v>
      </c>
      <c r="T5" s="55" t="s">
        <v>33</v>
      </c>
      <c r="U5" s="172" t="s">
        <v>33</v>
      </c>
      <c r="V5" s="24"/>
      <c r="W5" s="24" t="s">
        <v>33</v>
      </c>
      <c r="X5" s="23">
        <f t="shared" ref="X5:AJ5" si="0">X4/W4-1</f>
        <v>0.15328467153284686</v>
      </c>
      <c r="Y5" s="23">
        <f t="shared" si="0"/>
        <v>8.2278481012658222E-2</v>
      </c>
      <c r="Z5" s="23">
        <f t="shared" si="0"/>
        <v>7.6023391812865215E-2</v>
      </c>
      <c r="AA5" s="23">
        <f t="shared" si="0"/>
        <v>3.8043478260869623E-2</v>
      </c>
      <c r="AB5" s="23">
        <f t="shared" si="0"/>
        <v>0.23560209424083767</v>
      </c>
      <c r="AC5" s="23">
        <f t="shared" si="0"/>
        <v>0.41525423728813537</v>
      </c>
      <c r="AD5" s="23">
        <f t="shared" si="0"/>
        <v>8.3832335329341534E-2</v>
      </c>
      <c r="AE5" s="23">
        <f t="shared" si="0"/>
        <v>2.4861878453038555E-2</v>
      </c>
      <c r="AF5" s="23">
        <f t="shared" si="0"/>
        <v>0.13477088948787053</v>
      </c>
      <c r="AG5" s="23">
        <f t="shared" si="0"/>
        <v>2.6128266033254244E-2</v>
      </c>
      <c r="AH5" s="23">
        <f t="shared" si="0"/>
        <v>9.4907407407407218E-2</v>
      </c>
      <c r="AI5" s="23">
        <f t="shared" si="0"/>
        <v>4.6511627906976827E-2</v>
      </c>
      <c r="AJ5" s="23">
        <f t="shared" si="0"/>
        <v>9.2929292929292862E-2</v>
      </c>
      <c r="AK5" s="23">
        <f t="shared" ref="AK5" si="1">AK4/AJ4-1</f>
        <v>-3.512014787430684E-2</v>
      </c>
      <c r="AL5" s="23">
        <f t="shared" ref="AL5" si="2">AL4/AK4-1</f>
        <v>0.12643678160919536</v>
      </c>
    </row>
    <row r="6" spans="2:38" x14ac:dyDescent="0.25">
      <c r="B6" s="38" t="s">
        <v>0</v>
      </c>
      <c r="C6" s="9">
        <v>44.74</v>
      </c>
      <c r="D6" s="42"/>
      <c r="F6" s="150" t="s">
        <v>194</v>
      </c>
      <c r="G6" s="319" t="s">
        <v>283</v>
      </c>
      <c r="H6" s="315"/>
      <c r="K6" s="27" t="s">
        <v>74</v>
      </c>
      <c r="L6" s="56">
        <v>0.32</v>
      </c>
      <c r="M6" s="56">
        <v>0.28000000000000003</v>
      </c>
      <c r="N6" s="105"/>
      <c r="O6" s="56">
        <v>0.23</v>
      </c>
      <c r="P6" s="56">
        <v>0.17</v>
      </c>
      <c r="Q6" s="173"/>
      <c r="R6" s="56">
        <v>0.26</v>
      </c>
      <c r="S6" s="56">
        <v>0.24</v>
      </c>
      <c r="T6" s="56">
        <v>0.27</v>
      </c>
      <c r="U6" s="173"/>
      <c r="V6" s="24"/>
      <c r="W6" s="24" t="s">
        <v>33</v>
      </c>
      <c r="X6" s="24" t="s">
        <v>33</v>
      </c>
      <c r="Y6" s="24" t="s">
        <v>33</v>
      </c>
      <c r="Z6" s="24" t="s">
        <v>33</v>
      </c>
      <c r="AA6" s="32">
        <f t="shared" ref="AA6:AJ6" si="3">AA4/W4-1</f>
        <v>0.39416058394160602</v>
      </c>
      <c r="AB6" s="28">
        <f t="shared" si="3"/>
        <v>0.49367088607594933</v>
      </c>
      <c r="AC6" s="23">
        <f t="shared" si="3"/>
        <v>0.95321637426900563</v>
      </c>
      <c r="AD6" s="23">
        <f t="shared" si="3"/>
        <v>0.96739130434782639</v>
      </c>
      <c r="AE6" s="32">
        <f t="shared" si="3"/>
        <v>0.94240837696335067</v>
      </c>
      <c r="AF6" s="23">
        <f t="shared" si="3"/>
        <v>0.78389830508474567</v>
      </c>
      <c r="AG6" s="23">
        <f t="shared" si="3"/>
        <v>0.29341317365269481</v>
      </c>
      <c r="AH6" s="23">
        <f t="shared" si="3"/>
        <v>0.30662983425414336</v>
      </c>
      <c r="AI6" s="32">
        <f t="shared" si="3"/>
        <v>0.33423180592991919</v>
      </c>
      <c r="AJ6" s="32">
        <f t="shared" si="3"/>
        <v>0.28503562945368177</v>
      </c>
      <c r="AK6" s="32">
        <f t="shared" ref="AK6" si="4">AK4/AG4-1</f>
        <v>0.20833333333333326</v>
      </c>
      <c r="AL6" s="32">
        <f t="shared" ref="AL6" si="5">AL4/AH4-1</f>
        <v>0.24312896405919671</v>
      </c>
    </row>
    <row r="7" spans="2:38" x14ac:dyDescent="0.25">
      <c r="B7" s="38" t="s">
        <v>1</v>
      </c>
      <c r="C7" s="9">
        <f>+'Financial Model'!R20</f>
        <v>626.81700000000001</v>
      </c>
      <c r="D7" s="312" t="s">
        <v>14</v>
      </c>
      <c r="F7" s="150" t="s">
        <v>282</v>
      </c>
      <c r="G7" s="320">
        <v>2021</v>
      </c>
      <c r="H7" s="315"/>
      <c r="K7" s="27"/>
      <c r="L7" s="55"/>
      <c r="M7" s="55"/>
      <c r="N7" s="105"/>
      <c r="O7" s="55"/>
      <c r="P7" s="55"/>
      <c r="Q7" s="172"/>
      <c r="R7" s="55"/>
      <c r="S7" s="55"/>
      <c r="T7" s="55"/>
      <c r="U7" s="172"/>
      <c r="V7" s="24"/>
      <c r="W7" s="24"/>
      <c r="X7" s="24"/>
      <c r="Y7" s="24"/>
      <c r="Z7" s="24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</row>
    <row r="8" spans="2:38" x14ac:dyDescent="0.25">
      <c r="B8" s="38" t="s">
        <v>2</v>
      </c>
      <c r="C8" s="9">
        <f>C6*C7</f>
        <v>28043.792580000001</v>
      </c>
      <c r="D8" s="39"/>
      <c r="F8" s="150" t="s">
        <v>195</v>
      </c>
      <c r="G8" s="320">
        <v>2004</v>
      </c>
      <c r="H8" s="315"/>
      <c r="K8" s="27" t="s">
        <v>75</v>
      </c>
      <c r="L8" s="55" t="s">
        <v>33</v>
      </c>
      <c r="M8" s="55" t="s">
        <v>33</v>
      </c>
      <c r="N8" s="105"/>
      <c r="O8" s="55" t="s">
        <v>33</v>
      </c>
      <c r="P8" s="55" t="s">
        <v>33</v>
      </c>
      <c r="Q8" s="172" t="s">
        <v>33</v>
      </c>
      <c r="R8" s="55" t="s">
        <v>33</v>
      </c>
      <c r="S8" s="55" t="s">
        <v>33</v>
      </c>
      <c r="T8" s="55" t="s">
        <v>33</v>
      </c>
      <c r="U8" s="172" t="s">
        <v>33</v>
      </c>
      <c r="V8" s="24"/>
      <c r="W8" s="24" t="s">
        <v>33</v>
      </c>
      <c r="X8" s="6">
        <v>9</v>
      </c>
      <c r="Y8" s="6">
        <v>9.9</v>
      </c>
      <c r="Z8" s="6">
        <v>10.8</v>
      </c>
      <c r="AA8" s="6">
        <v>11</v>
      </c>
      <c r="AB8" s="6">
        <v>13.3</v>
      </c>
      <c r="AC8" s="22">
        <v>17.899999999999999</v>
      </c>
      <c r="AD8" s="6">
        <v>19.3</v>
      </c>
      <c r="AE8" s="6">
        <v>19.5</v>
      </c>
      <c r="AF8" s="6">
        <v>21.3</v>
      </c>
      <c r="AG8" s="6">
        <v>21.5</v>
      </c>
      <c r="AH8" s="6">
        <v>23.1</v>
      </c>
      <c r="AI8" s="6">
        <v>23.6</v>
      </c>
      <c r="AJ8" s="6">
        <v>25.5</v>
      </c>
      <c r="AK8" s="6">
        <v>24.2</v>
      </c>
      <c r="AL8" s="6">
        <v>26.4</v>
      </c>
    </row>
    <row r="9" spans="2:38" x14ac:dyDescent="0.25">
      <c r="B9" s="38" t="s">
        <v>3</v>
      </c>
      <c r="C9" s="9">
        <f>+'Financial Model'!R69</f>
        <v>3236.6729999999998</v>
      </c>
      <c r="D9" s="312" t="s">
        <v>14</v>
      </c>
      <c r="F9" s="150" t="s">
        <v>62</v>
      </c>
      <c r="G9" s="320">
        <f>AL4</f>
        <v>58.8</v>
      </c>
      <c r="H9" s="315"/>
      <c r="K9" s="27" t="s">
        <v>77</v>
      </c>
      <c r="L9" s="55" t="s">
        <v>33</v>
      </c>
      <c r="M9" s="55" t="s">
        <v>33</v>
      </c>
      <c r="N9" s="105"/>
      <c r="O9" s="55" t="s">
        <v>33</v>
      </c>
      <c r="P9" s="55" t="s">
        <v>33</v>
      </c>
      <c r="Q9" s="172" t="s">
        <v>33</v>
      </c>
      <c r="R9" s="55" t="s">
        <v>33</v>
      </c>
      <c r="S9" s="55" t="s">
        <v>33</v>
      </c>
      <c r="T9" s="55" t="s">
        <v>33</v>
      </c>
      <c r="U9" s="172" t="s">
        <v>33</v>
      </c>
      <c r="V9" s="24"/>
      <c r="W9" s="24" t="s">
        <v>33</v>
      </c>
      <c r="X9" s="24" t="s">
        <v>33</v>
      </c>
      <c r="Y9" s="23">
        <f t="shared" ref="Y9:AJ9" si="6">Y8/X8-1</f>
        <v>0.10000000000000009</v>
      </c>
      <c r="Z9" s="23">
        <f t="shared" si="6"/>
        <v>9.090909090909105E-2</v>
      </c>
      <c r="AA9" s="23">
        <f t="shared" si="6"/>
        <v>1.8518518518518379E-2</v>
      </c>
      <c r="AB9" s="23">
        <f t="shared" si="6"/>
        <v>0.20909090909090922</v>
      </c>
      <c r="AC9" s="23">
        <f t="shared" si="6"/>
        <v>0.34586466165413521</v>
      </c>
      <c r="AD9" s="23">
        <f t="shared" si="6"/>
        <v>7.8212290502793325E-2</v>
      </c>
      <c r="AE9" s="23">
        <f t="shared" si="6"/>
        <v>1.0362694300518172E-2</v>
      </c>
      <c r="AF9" s="23">
        <f t="shared" si="6"/>
        <v>9.2307692307692424E-2</v>
      </c>
      <c r="AG9" s="23">
        <f t="shared" si="6"/>
        <v>9.3896713615022609E-3</v>
      </c>
      <c r="AH9" s="23">
        <f t="shared" si="6"/>
        <v>7.441860465116279E-2</v>
      </c>
      <c r="AI9" s="23">
        <f t="shared" si="6"/>
        <v>2.1645021645021689E-2</v>
      </c>
      <c r="AJ9" s="23">
        <f t="shared" si="6"/>
        <v>8.0508474576271194E-2</v>
      </c>
      <c r="AK9" s="23">
        <f t="shared" ref="AK9:AL9" si="7">AK8/AJ8-1</f>
        <v>-5.0980392156862786E-2</v>
      </c>
      <c r="AL9" s="23">
        <f t="shared" si="7"/>
        <v>9.0909090909090828E-2</v>
      </c>
    </row>
    <row r="10" spans="2:38" x14ac:dyDescent="0.25">
      <c r="B10" s="38" t="s">
        <v>4</v>
      </c>
      <c r="C10" s="9">
        <f>+'Financial Model'!R70</f>
        <v>1005</v>
      </c>
      <c r="D10" s="312" t="s">
        <v>14</v>
      </c>
      <c r="F10" s="150" t="s">
        <v>317</v>
      </c>
      <c r="G10" s="321">
        <v>2128</v>
      </c>
      <c r="H10" s="322"/>
      <c r="K10" s="27" t="s">
        <v>78</v>
      </c>
      <c r="L10" s="55" t="s">
        <v>33</v>
      </c>
      <c r="M10" s="55" t="s">
        <v>33</v>
      </c>
      <c r="N10" s="105"/>
      <c r="O10" s="55" t="s">
        <v>33</v>
      </c>
      <c r="P10" s="55" t="s">
        <v>33</v>
      </c>
      <c r="Q10" s="172" t="s">
        <v>33</v>
      </c>
      <c r="R10" s="55" t="s">
        <v>33</v>
      </c>
      <c r="S10" s="55" t="s">
        <v>33</v>
      </c>
      <c r="T10" s="55" t="s">
        <v>33</v>
      </c>
      <c r="U10" s="172" t="s">
        <v>33</v>
      </c>
      <c r="V10" s="24"/>
      <c r="W10" s="24" t="s">
        <v>33</v>
      </c>
      <c r="X10" s="24" t="s">
        <v>33</v>
      </c>
      <c r="Y10" s="24" t="s">
        <v>33</v>
      </c>
      <c r="Z10" s="24" t="s">
        <v>33</v>
      </c>
      <c r="AA10" s="24" t="s">
        <v>33</v>
      </c>
      <c r="AB10" s="28">
        <f t="shared" ref="AB10:AJ10" si="8">AB8/X8-1</f>
        <v>0.47777777777777786</v>
      </c>
      <c r="AC10" s="23">
        <f t="shared" si="8"/>
        <v>0.80808080808080796</v>
      </c>
      <c r="AD10" s="23">
        <f t="shared" si="8"/>
        <v>0.78703703703703698</v>
      </c>
      <c r="AE10" s="32">
        <f t="shared" si="8"/>
        <v>0.77272727272727271</v>
      </c>
      <c r="AF10" s="23">
        <f t="shared" si="8"/>
        <v>0.60150375939849621</v>
      </c>
      <c r="AG10" s="23">
        <f t="shared" si="8"/>
        <v>0.2011173184357542</v>
      </c>
      <c r="AH10" s="23">
        <f t="shared" si="8"/>
        <v>0.19689119170984459</v>
      </c>
      <c r="AI10" s="32">
        <f t="shared" si="8"/>
        <v>0.2102564102564104</v>
      </c>
      <c r="AJ10" s="133">
        <f t="shared" si="8"/>
        <v>0.19718309859154926</v>
      </c>
      <c r="AK10" s="133">
        <f t="shared" ref="AK10:AL10" si="9">AK8/AG8-1</f>
        <v>0.12558139534883717</v>
      </c>
      <c r="AL10" s="133">
        <f t="shared" si="9"/>
        <v>0.14285714285714279</v>
      </c>
    </row>
    <row r="11" spans="2:38" x14ac:dyDescent="0.25">
      <c r="B11" s="38" t="s">
        <v>7</v>
      </c>
      <c r="C11" s="9">
        <f>C9-C10</f>
        <v>2231.6729999999998</v>
      </c>
      <c r="D11" s="312" t="s">
        <v>14</v>
      </c>
      <c r="F11" s="150" t="s">
        <v>198</v>
      </c>
      <c r="G11" s="313" t="s">
        <v>14</v>
      </c>
      <c r="H11" s="232">
        <v>39753</v>
      </c>
      <c r="K11" s="27"/>
      <c r="L11" s="55"/>
      <c r="M11" s="55"/>
      <c r="N11" s="105"/>
      <c r="O11" s="55"/>
      <c r="P11" s="55"/>
      <c r="Q11" s="172"/>
      <c r="R11" s="55"/>
      <c r="S11" s="55"/>
      <c r="T11" s="55"/>
      <c r="U11" s="172"/>
      <c r="V11" s="24"/>
      <c r="W11" s="24"/>
      <c r="AC11" s="22"/>
      <c r="AJ11" s="134"/>
      <c r="AK11" s="134"/>
    </row>
    <row r="12" spans="2:38" ht="15.75" x14ac:dyDescent="0.25">
      <c r="B12" s="40" t="s">
        <v>5</v>
      </c>
      <c r="C12" s="43">
        <f>C8-C9+C10</f>
        <v>25812.119580000002</v>
      </c>
      <c r="D12" s="41"/>
      <c r="F12" s="151" t="s">
        <v>196</v>
      </c>
      <c r="G12" s="323" t="s">
        <v>197</v>
      </c>
      <c r="H12" s="324"/>
      <c r="K12" s="27" t="s">
        <v>76</v>
      </c>
      <c r="L12" s="55" t="s">
        <v>33</v>
      </c>
      <c r="M12" s="55" t="s">
        <v>33</v>
      </c>
      <c r="N12" s="105"/>
      <c r="O12" s="55" t="s">
        <v>33</v>
      </c>
      <c r="P12" s="55" t="s">
        <v>33</v>
      </c>
      <c r="Q12" s="172" t="s">
        <v>33</v>
      </c>
      <c r="R12" s="55" t="s">
        <v>33</v>
      </c>
      <c r="S12" s="55" t="s">
        <v>33</v>
      </c>
      <c r="T12" s="55" t="s">
        <v>33</v>
      </c>
      <c r="U12" s="172" t="s">
        <v>33</v>
      </c>
      <c r="V12" s="24"/>
      <c r="W12" s="24" t="s">
        <v>33</v>
      </c>
      <c r="X12" s="6">
        <v>6.4</v>
      </c>
      <c r="Y12" s="6">
        <v>6.7</v>
      </c>
      <c r="Z12" s="6">
        <v>7.1</v>
      </c>
      <c r="AA12" s="6">
        <v>7.7</v>
      </c>
      <c r="AB12" s="22">
        <v>9.6999999999999993</v>
      </c>
      <c r="AC12" s="6">
        <v>7.7</v>
      </c>
      <c r="AD12" s="6">
        <v>9.6999999999999993</v>
      </c>
      <c r="AE12" s="6">
        <v>16.100000000000001</v>
      </c>
      <c r="AF12" s="6">
        <v>17.2</v>
      </c>
      <c r="AG12" s="6">
        <v>21.4</v>
      </c>
      <c r="AH12" s="6">
        <v>23.8</v>
      </c>
      <c r="AI12" s="6">
        <v>25.6</v>
      </c>
      <c r="AJ12" s="6">
        <v>28.3</v>
      </c>
      <c r="AK12" s="6">
        <v>27.2</v>
      </c>
      <c r="AL12" s="6">
        <v>31.9</v>
      </c>
    </row>
    <row r="13" spans="2:38" x14ac:dyDescent="0.25">
      <c r="K13" s="27" t="s">
        <v>79</v>
      </c>
      <c r="L13" s="55" t="s">
        <v>33</v>
      </c>
      <c r="M13" s="55" t="s">
        <v>33</v>
      </c>
      <c r="N13" s="105"/>
      <c r="O13" s="55" t="s">
        <v>33</v>
      </c>
      <c r="P13" s="55" t="s">
        <v>33</v>
      </c>
      <c r="Q13" s="172" t="s">
        <v>33</v>
      </c>
      <c r="R13" s="55" t="s">
        <v>33</v>
      </c>
      <c r="S13" s="55" t="s">
        <v>33</v>
      </c>
      <c r="T13" s="55" t="s">
        <v>33</v>
      </c>
      <c r="U13" s="172" t="s">
        <v>33</v>
      </c>
      <c r="V13" s="24"/>
      <c r="W13" s="24" t="s">
        <v>33</v>
      </c>
      <c r="X13" s="24" t="s">
        <v>33</v>
      </c>
      <c r="Y13" s="23">
        <f t="shared" ref="Y13:AJ13" si="10">Y12/X12-1</f>
        <v>4.6875E-2</v>
      </c>
      <c r="Z13" s="23">
        <f t="shared" si="10"/>
        <v>5.9701492537313383E-2</v>
      </c>
      <c r="AA13" s="23">
        <f t="shared" si="10"/>
        <v>8.4507042253521236E-2</v>
      </c>
      <c r="AB13" s="23">
        <f t="shared" si="10"/>
        <v>0.2597402597402596</v>
      </c>
      <c r="AC13" s="23">
        <f t="shared" si="10"/>
        <v>-0.20618556701030921</v>
      </c>
      <c r="AD13" s="23">
        <f t="shared" si="10"/>
        <v>0.2597402597402596</v>
      </c>
      <c r="AE13" s="23">
        <f t="shared" si="10"/>
        <v>0.65979381443299001</v>
      </c>
      <c r="AF13" s="23">
        <f t="shared" si="10"/>
        <v>6.8322981366459423E-2</v>
      </c>
      <c r="AG13" s="23">
        <f t="shared" si="10"/>
        <v>0.2441860465116279</v>
      </c>
      <c r="AH13" s="23">
        <f t="shared" si="10"/>
        <v>0.11214953271028039</v>
      </c>
      <c r="AI13" s="23">
        <f t="shared" si="10"/>
        <v>7.5630252100840289E-2</v>
      </c>
      <c r="AJ13" s="23">
        <f t="shared" si="10"/>
        <v>0.10546875</v>
      </c>
      <c r="AK13" s="23">
        <f t="shared" ref="AK13:AL13" si="11">AK12/AJ12-1</f>
        <v>-3.8869257950530089E-2</v>
      </c>
      <c r="AL13" s="23">
        <f t="shared" si="11"/>
        <v>0.17279411764705888</v>
      </c>
    </row>
    <row r="14" spans="2:38" x14ac:dyDescent="0.25">
      <c r="K14" s="27" t="s">
        <v>80</v>
      </c>
      <c r="L14" s="55" t="s">
        <v>33</v>
      </c>
      <c r="M14" s="55" t="s">
        <v>33</v>
      </c>
      <c r="N14" s="105"/>
      <c r="O14" s="55" t="s">
        <v>33</v>
      </c>
      <c r="P14" s="55" t="s">
        <v>33</v>
      </c>
      <c r="Q14" s="172" t="s">
        <v>33</v>
      </c>
      <c r="R14" s="55" t="s">
        <v>33</v>
      </c>
      <c r="S14" s="55" t="s">
        <v>33</v>
      </c>
      <c r="T14" s="55" t="s">
        <v>33</v>
      </c>
      <c r="U14" s="172" t="s">
        <v>33</v>
      </c>
      <c r="V14" s="24"/>
      <c r="W14" s="24" t="s">
        <v>33</v>
      </c>
      <c r="X14" s="24" t="s">
        <v>33</v>
      </c>
      <c r="Y14" s="24" t="s">
        <v>33</v>
      </c>
      <c r="Z14" s="24" t="s">
        <v>33</v>
      </c>
      <c r="AA14" s="24" t="s">
        <v>33</v>
      </c>
      <c r="AB14" s="28">
        <f t="shared" ref="AB14:AJ14" si="12">AB12/X12-1</f>
        <v>0.51562499999999978</v>
      </c>
      <c r="AC14" s="23">
        <f t="shared" si="12"/>
        <v>0.14925373134328357</v>
      </c>
      <c r="AD14" s="23">
        <f t="shared" si="12"/>
        <v>0.36619718309859151</v>
      </c>
      <c r="AE14" s="32">
        <f t="shared" si="12"/>
        <v>1.0909090909090908</v>
      </c>
      <c r="AF14" s="23">
        <f t="shared" si="12"/>
        <v>0.77319587628865993</v>
      </c>
      <c r="AG14" s="23">
        <f t="shared" si="12"/>
        <v>1.779220779220779</v>
      </c>
      <c r="AH14" s="23">
        <f t="shared" si="12"/>
        <v>1.4536082474226806</v>
      </c>
      <c r="AI14" s="32">
        <f t="shared" si="12"/>
        <v>0.59006211180124213</v>
      </c>
      <c r="AJ14" s="32">
        <f t="shared" si="12"/>
        <v>0.64534883720930236</v>
      </c>
      <c r="AK14" s="32">
        <f t="shared" ref="AK14:AL14" si="13">AK12/AG12-1</f>
        <v>0.27102803738317771</v>
      </c>
      <c r="AL14" s="32">
        <f t="shared" si="13"/>
        <v>0.34033613445378141</v>
      </c>
    </row>
    <row r="15" spans="2:38" ht="15.95" customHeight="1" x14ac:dyDescent="0.25">
      <c r="B15" s="316" t="s">
        <v>130</v>
      </c>
      <c r="C15" s="317"/>
      <c r="D15" s="318"/>
      <c r="F15" s="316" t="s">
        <v>203</v>
      </c>
      <c r="G15" s="317"/>
      <c r="H15" s="318"/>
      <c r="K15" s="27"/>
      <c r="L15" s="57"/>
      <c r="M15" s="57"/>
      <c r="N15" s="102"/>
      <c r="O15" s="57"/>
      <c r="P15" s="57"/>
      <c r="Q15" s="174"/>
      <c r="R15" s="57"/>
      <c r="S15" s="57"/>
      <c r="T15" s="57"/>
      <c r="U15" s="174"/>
    </row>
    <row r="16" spans="2:38" ht="15" customHeight="1" x14ac:dyDescent="0.25">
      <c r="B16" s="84" t="s">
        <v>132</v>
      </c>
      <c r="C16" s="314" t="s">
        <v>131</v>
      </c>
      <c r="D16" s="315"/>
      <c r="F16" s="150" t="s">
        <v>204</v>
      </c>
      <c r="G16" s="334">
        <f>C6/'Financial Model'!R67</f>
        <v>397.07462662475979</v>
      </c>
      <c r="H16" s="335"/>
      <c r="J16" s="30" t="s">
        <v>86</v>
      </c>
      <c r="K16" s="26" t="s">
        <v>83</v>
      </c>
      <c r="L16" s="58">
        <v>4200</v>
      </c>
      <c r="M16" s="58">
        <v>3800</v>
      </c>
      <c r="N16" s="106"/>
      <c r="O16" s="58">
        <v>3800</v>
      </c>
      <c r="P16" s="58">
        <v>3600</v>
      </c>
      <c r="Q16" s="174"/>
      <c r="R16" s="58">
        <v>4700</v>
      </c>
      <c r="S16" s="58">
        <v>4700</v>
      </c>
      <c r="T16" s="58">
        <v>4000</v>
      </c>
      <c r="U16" s="199"/>
      <c r="V16" s="31"/>
      <c r="W16" s="31">
        <v>2530</v>
      </c>
      <c r="X16" s="31">
        <v>2974</v>
      </c>
      <c r="Y16" s="31">
        <v>3248</v>
      </c>
      <c r="Z16" s="31">
        <v>3730</v>
      </c>
      <c r="AA16" s="31">
        <v>3701</v>
      </c>
      <c r="AB16" s="31">
        <v>4875</v>
      </c>
      <c r="AC16" s="31">
        <v>8586</v>
      </c>
      <c r="AD16" s="31">
        <v>8711</v>
      </c>
      <c r="AE16" s="31">
        <v>8430</v>
      </c>
      <c r="AF16" s="31">
        <v>9674</v>
      </c>
      <c r="AG16" s="31">
        <v>9738</v>
      </c>
      <c r="AH16" s="31">
        <v>11184</v>
      </c>
      <c r="AI16" s="31">
        <v>10818</v>
      </c>
      <c r="AJ16" s="31">
        <f>AI16*1.12</f>
        <v>12116.160000000002</v>
      </c>
      <c r="AK16" s="31">
        <v>11300</v>
      </c>
      <c r="AL16" s="205">
        <v>13400</v>
      </c>
    </row>
    <row r="17" spans="2:38" x14ac:dyDescent="0.25">
      <c r="B17" s="96" t="s">
        <v>164</v>
      </c>
      <c r="C17" s="331" t="s">
        <v>165</v>
      </c>
      <c r="D17" s="332"/>
      <c r="F17" s="150" t="s">
        <v>213</v>
      </c>
      <c r="G17" s="334">
        <f>C8/SUM('Financial Model'!O3:R3)</f>
        <v>10.018237793084921</v>
      </c>
      <c r="H17" s="335"/>
      <c r="K17" s="27" t="s">
        <v>84</v>
      </c>
      <c r="L17" s="55" t="s">
        <v>33</v>
      </c>
      <c r="M17" s="55" t="s">
        <v>33</v>
      </c>
      <c r="N17" s="105"/>
      <c r="O17" s="55" t="s">
        <v>33</v>
      </c>
      <c r="P17" s="55" t="s">
        <v>33</v>
      </c>
      <c r="Q17" s="172"/>
      <c r="R17" s="55" t="s">
        <v>33</v>
      </c>
      <c r="S17" s="55" t="s">
        <v>33</v>
      </c>
      <c r="T17" s="55" t="s">
        <v>33</v>
      </c>
      <c r="U17" s="172"/>
      <c r="V17" s="24"/>
      <c r="W17" s="24" t="s">
        <v>33</v>
      </c>
      <c r="X17" s="23">
        <f t="shared" ref="X17:AJ17" si="14">X16/W16-1</f>
        <v>0.17549407114624516</v>
      </c>
      <c r="Y17" s="23">
        <f t="shared" si="14"/>
        <v>9.2131809011432475E-2</v>
      </c>
      <c r="Z17" s="23">
        <f t="shared" si="14"/>
        <v>0.14839901477832518</v>
      </c>
      <c r="AA17" s="23">
        <f t="shared" si="14"/>
        <v>-7.7747989276139018E-3</v>
      </c>
      <c r="AB17" s="23">
        <f t="shared" si="14"/>
        <v>0.31721156444204279</v>
      </c>
      <c r="AC17" s="23">
        <f t="shared" si="14"/>
        <v>0.76123076923076916</v>
      </c>
      <c r="AD17" s="23">
        <f t="shared" si="14"/>
        <v>1.455858374097363E-2</v>
      </c>
      <c r="AE17" s="23">
        <f t="shared" si="14"/>
        <v>-3.2258064516129004E-2</v>
      </c>
      <c r="AF17" s="23">
        <f t="shared" si="14"/>
        <v>0.14756820877817312</v>
      </c>
      <c r="AG17" s="23">
        <f t="shared" si="14"/>
        <v>6.6156708703741796E-3</v>
      </c>
      <c r="AH17" s="23">
        <f t="shared" si="14"/>
        <v>0.14849044978435</v>
      </c>
      <c r="AI17" s="23">
        <f t="shared" si="14"/>
        <v>-3.272532188841204E-2</v>
      </c>
      <c r="AJ17" s="23">
        <f t="shared" si="14"/>
        <v>0.12000000000000011</v>
      </c>
      <c r="AK17" s="23">
        <f t="shared" ref="AK17:AL17" si="15">AK16/AJ16-1</f>
        <v>-6.7361276179911944E-2</v>
      </c>
      <c r="AL17" s="23">
        <f t="shared" si="15"/>
        <v>0.18584070796460184</v>
      </c>
    </row>
    <row r="18" spans="2:38" x14ac:dyDescent="0.25">
      <c r="B18" s="84" t="s">
        <v>133</v>
      </c>
      <c r="C18" s="314" t="s">
        <v>134</v>
      </c>
      <c r="D18" s="315"/>
      <c r="F18" s="150" t="s">
        <v>214</v>
      </c>
      <c r="G18" s="334">
        <f>C6/SUM('Financial Model'!O19:R19)</f>
        <v>-23.809379435206054</v>
      </c>
      <c r="H18" s="335"/>
      <c r="K18" s="27" t="s">
        <v>85</v>
      </c>
      <c r="L18" s="56">
        <v>0.26</v>
      </c>
      <c r="M18" s="56">
        <v>0.21</v>
      </c>
      <c r="N18" s="105"/>
      <c r="O18" s="56">
        <v>0.18</v>
      </c>
      <c r="P18" s="56">
        <v>0.1</v>
      </c>
      <c r="Q18" s="173"/>
      <c r="R18" s="56">
        <v>0.25</v>
      </c>
      <c r="S18" s="56">
        <v>0.18</v>
      </c>
      <c r="T18" s="56">
        <v>0.16</v>
      </c>
      <c r="U18" s="173"/>
      <c r="V18" s="24"/>
      <c r="W18" s="24" t="s">
        <v>33</v>
      </c>
      <c r="X18" s="24" t="s">
        <v>33</v>
      </c>
      <c r="Y18" s="24" t="s">
        <v>33</v>
      </c>
      <c r="Z18" s="24" t="s">
        <v>33</v>
      </c>
      <c r="AA18" s="32">
        <f t="shared" ref="AA18:AJ18" si="16">AA16/W16-1</f>
        <v>0.46284584980237153</v>
      </c>
      <c r="AB18" s="23">
        <f t="shared" si="16"/>
        <v>0.63920645595158043</v>
      </c>
      <c r="AC18" s="23">
        <f t="shared" si="16"/>
        <v>1.6434729064039408</v>
      </c>
      <c r="AD18" s="23">
        <f t="shared" si="16"/>
        <v>1.3353887399463806</v>
      </c>
      <c r="AE18" s="32">
        <f t="shared" si="16"/>
        <v>1.2777627668197784</v>
      </c>
      <c r="AF18" s="23">
        <f t="shared" si="16"/>
        <v>0.98441025641025637</v>
      </c>
      <c r="AG18" s="23">
        <f t="shared" si="16"/>
        <v>0.13417190775681331</v>
      </c>
      <c r="AH18" s="23">
        <f t="shared" si="16"/>
        <v>0.28389392721845952</v>
      </c>
      <c r="AI18" s="32">
        <f t="shared" si="16"/>
        <v>0.28327402135231328</v>
      </c>
      <c r="AJ18" s="133">
        <f t="shared" si="16"/>
        <v>0.25244573082489175</v>
      </c>
      <c r="AK18" s="133">
        <f t="shared" ref="AK18:AL18" si="17">AK16/AG16-1</f>
        <v>0.16040254672417342</v>
      </c>
      <c r="AL18" s="133">
        <f t="shared" si="17"/>
        <v>0.198140200286123</v>
      </c>
    </row>
    <row r="19" spans="2:38" x14ac:dyDescent="0.25">
      <c r="B19" s="303" t="s">
        <v>381</v>
      </c>
      <c r="C19" s="333" t="s">
        <v>382</v>
      </c>
      <c r="D19" s="315"/>
      <c r="F19" s="150" t="s">
        <v>218</v>
      </c>
      <c r="G19" s="334">
        <f>C12/SUM('Financial Model'!O3:R3)</f>
        <v>9.2210050105848893</v>
      </c>
      <c r="H19" s="335"/>
      <c r="K19" s="27"/>
      <c r="L19" s="57"/>
      <c r="M19" s="57"/>
    </row>
    <row r="20" spans="2:38" x14ac:dyDescent="0.25">
      <c r="B20" s="83"/>
      <c r="C20" s="338"/>
      <c r="D20" s="339"/>
      <c r="F20" s="151" t="s">
        <v>319</v>
      </c>
      <c r="G20" s="336">
        <f>C12/SUM('Financial Model'!O34:R34)</f>
        <v>7.3312764973634001</v>
      </c>
      <c r="H20" s="337"/>
      <c r="J20" s="30"/>
      <c r="K20" s="167" t="s">
        <v>212</v>
      </c>
      <c r="M20" s="54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2:38" x14ac:dyDescent="0.25">
      <c r="K21" s="167" t="s">
        <v>211</v>
      </c>
    </row>
    <row r="22" spans="2:38" x14ac:dyDescent="0.25">
      <c r="K22" s="167" t="s">
        <v>210</v>
      </c>
    </row>
    <row r="23" spans="2:38" x14ac:dyDescent="0.25">
      <c r="B23" s="316" t="s">
        <v>159</v>
      </c>
      <c r="C23" s="317"/>
      <c r="D23" s="317"/>
      <c r="E23" s="317"/>
      <c r="F23" s="317"/>
      <c r="G23" s="318"/>
      <c r="K23" s="167" t="s">
        <v>209</v>
      </c>
    </row>
    <row r="24" spans="2:38" x14ac:dyDescent="0.25">
      <c r="B24" s="99" t="s">
        <v>169</v>
      </c>
      <c r="C24" s="87"/>
      <c r="D24" s="87"/>
      <c r="E24" s="87"/>
      <c r="F24" s="87"/>
      <c r="G24" s="88"/>
      <c r="K24" s="57" t="s">
        <v>167</v>
      </c>
    </row>
    <row r="25" spans="2:38" x14ac:dyDescent="0.25">
      <c r="B25" s="99" t="s">
        <v>170</v>
      </c>
      <c r="C25" s="87"/>
      <c r="D25" s="87"/>
      <c r="E25" s="87"/>
      <c r="F25" s="87"/>
      <c r="G25" s="88"/>
      <c r="K25" s="85" t="s">
        <v>139</v>
      </c>
      <c r="L25" s="85" t="s">
        <v>148</v>
      </c>
    </row>
    <row r="26" spans="2:38" x14ac:dyDescent="0.25">
      <c r="B26" s="89"/>
      <c r="C26" s="87"/>
      <c r="D26" s="87"/>
      <c r="E26" s="87"/>
      <c r="F26" s="87"/>
      <c r="G26" s="88"/>
      <c r="K26" s="85" t="s">
        <v>140</v>
      </c>
      <c r="L26" s="85" t="s">
        <v>137</v>
      </c>
    </row>
    <row r="27" spans="2:38" x14ac:dyDescent="0.25">
      <c r="B27" s="89" t="s">
        <v>149</v>
      </c>
      <c r="C27" s="87"/>
      <c r="D27" s="87"/>
      <c r="E27" s="87"/>
      <c r="F27" s="90"/>
      <c r="G27" s="88"/>
      <c r="K27" s="85" t="s">
        <v>141</v>
      </c>
      <c r="L27" s="85" t="s">
        <v>138</v>
      </c>
    </row>
    <row r="28" spans="2:38" x14ac:dyDescent="0.25">
      <c r="B28" s="86" t="s">
        <v>162</v>
      </c>
      <c r="C28" s="87"/>
      <c r="D28" s="87"/>
      <c r="E28" s="87"/>
      <c r="F28" s="90"/>
      <c r="G28" s="88"/>
      <c r="P28" s="1" t="s">
        <v>284</v>
      </c>
    </row>
    <row r="29" spans="2:38" x14ac:dyDescent="0.25">
      <c r="B29" s="95" t="s">
        <v>163</v>
      </c>
      <c r="C29" s="87"/>
      <c r="D29" s="87"/>
      <c r="E29" s="87"/>
      <c r="F29" s="90"/>
      <c r="G29" s="88"/>
      <c r="K29" s="85" t="s">
        <v>143</v>
      </c>
      <c r="L29" s="85" t="s">
        <v>142</v>
      </c>
      <c r="P29" s="233" t="s">
        <v>302</v>
      </c>
    </row>
    <row r="30" spans="2:38" x14ac:dyDescent="0.25">
      <c r="B30" s="86" t="s">
        <v>161</v>
      </c>
      <c r="C30" s="87"/>
      <c r="D30" s="87"/>
      <c r="E30" s="87"/>
      <c r="F30" s="90"/>
      <c r="G30" s="88"/>
      <c r="J30" s="85"/>
      <c r="K30" s="85"/>
      <c r="P30" s="233" t="s">
        <v>288</v>
      </c>
    </row>
    <row r="31" spans="2:38" x14ac:dyDescent="0.25">
      <c r="B31" s="91" t="s">
        <v>150</v>
      </c>
      <c r="C31" s="92"/>
      <c r="D31" s="92"/>
      <c r="E31" s="92"/>
      <c r="F31" s="93"/>
      <c r="G31" s="94"/>
      <c r="J31" s="7"/>
      <c r="K31" s="316" t="s">
        <v>181</v>
      </c>
      <c r="L31" s="317"/>
      <c r="M31" s="317"/>
      <c r="N31" s="318"/>
      <c r="P31" s="233" t="s">
        <v>289</v>
      </c>
    </row>
    <row r="32" spans="2:38" x14ac:dyDescent="0.25">
      <c r="J32" s="7"/>
      <c r="K32" s="143" t="s">
        <v>176</v>
      </c>
      <c r="L32" s="87"/>
      <c r="M32" s="87"/>
      <c r="N32" s="88"/>
    </row>
    <row r="33" spans="2:16" x14ac:dyDescent="0.25">
      <c r="B33" s="316" t="s">
        <v>187</v>
      </c>
      <c r="C33" s="317"/>
      <c r="D33" s="317"/>
      <c r="E33" s="317"/>
      <c r="F33" s="317"/>
      <c r="G33" s="318"/>
      <c r="J33" s="7"/>
      <c r="K33" s="143" t="s">
        <v>177</v>
      </c>
      <c r="L33" s="140" t="s">
        <v>178</v>
      </c>
      <c r="M33" s="140"/>
      <c r="N33" s="88"/>
      <c r="P33" s="233" t="s">
        <v>290</v>
      </c>
    </row>
    <row r="34" spans="2:16" x14ac:dyDescent="0.25">
      <c r="B34" s="175">
        <v>45078</v>
      </c>
      <c r="C34" s="293" t="s">
        <v>364</v>
      </c>
      <c r="D34" s="87"/>
      <c r="E34" s="87"/>
      <c r="F34" s="87"/>
      <c r="G34" s="88"/>
      <c r="J34" s="7"/>
      <c r="K34" s="143" t="s">
        <v>179</v>
      </c>
      <c r="L34" s="141" t="s">
        <v>180</v>
      </c>
      <c r="M34" s="141"/>
      <c r="N34" s="88"/>
      <c r="P34" s="233" t="s">
        <v>291</v>
      </c>
    </row>
    <row r="35" spans="2:16" x14ac:dyDescent="0.25">
      <c r="B35" s="137"/>
      <c r="C35" s="87"/>
      <c r="D35" s="87"/>
      <c r="E35" s="87"/>
      <c r="F35" s="87"/>
      <c r="G35" s="88"/>
      <c r="J35" s="178" t="s">
        <v>207</v>
      </c>
      <c r="K35" s="143" t="s">
        <v>184</v>
      </c>
      <c r="L35" s="142" t="s">
        <v>185</v>
      </c>
      <c r="M35" s="142"/>
      <c r="N35" s="88"/>
      <c r="P35" s="233" t="s">
        <v>292</v>
      </c>
    </row>
    <row r="36" spans="2:16" x14ac:dyDescent="0.25">
      <c r="B36" s="175">
        <v>44986</v>
      </c>
      <c r="C36" s="266" t="s">
        <v>320</v>
      </c>
      <c r="D36" s="87"/>
      <c r="E36" s="87"/>
      <c r="F36" s="87"/>
      <c r="G36" s="88"/>
      <c r="J36" s="7"/>
      <c r="K36" s="144" t="s">
        <v>151</v>
      </c>
      <c r="L36" s="87"/>
      <c r="M36" s="87"/>
      <c r="N36" s="88"/>
      <c r="P36" s="233" t="s">
        <v>293</v>
      </c>
    </row>
    <row r="37" spans="2:16" x14ac:dyDescent="0.25">
      <c r="B37" s="137"/>
      <c r="C37" s="267" t="s">
        <v>321</v>
      </c>
      <c r="D37" s="87"/>
      <c r="E37" s="87"/>
      <c r="F37" s="87"/>
      <c r="G37" s="88"/>
      <c r="J37" s="7"/>
      <c r="K37" s="144" t="s">
        <v>152</v>
      </c>
      <c r="L37" s="87"/>
      <c r="M37" s="87"/>
      <c r="N37" s="88"/>
      <c r="P37" s="233" t="s">
        <v>294</v>
      </c>
    </row>
    <row r="38" spans="2:16" x14ac:dyDescent="0.25">
      <c r="B38" s="137"/>
      <c r="C38" s="87"/>
      <c r="D38" s="87"/>
      <c r="E38" s="87"/>
      <c r="F38" s="87"/>
      <c r="G38" s="88"/>
      <c r="J38" s="7"/>
      <c r="K38" s="144" t="s">
        <v>153</v>
      </c>
      <c r="L38" s="87"/>
      <c r="M38" s="87"/>
      <c r="N38" s="88"/>
    </row>
    <row r="39" spans="2:16" x14ac:dyDescent="0.25">
      <c r="B39" s="175">
        <v>44743</v>
      </c>
      <c r="C39" s="176" t="s">
        <v>205</v>
      </c>
      <c r="D39" s="87"/>
      <c r="E39" s="87"/>
      <c r="F39" s="87"/>
      <c r="G39" s="88"/>
      <c r="J39" s="7"/>
      <c r="K39" s="144" t="s">
        <v>166</v>
      </c>
      <c r="L39" s="87"/>
      <c r="M39" s="87"/>
      <c r="N39" s="88"/>
      <c r="P39" s="233" t="s">
        <v>296</v>
      </c>
    </row>
    <row r="40" spans="2:16" x14ac:dyDescent="0.25">
      <c r="B40" s="137"/>
      <c r="C40" s="177" t="s">
        <v>206</v>
      </c>
      <c r="D40" s="87"/>
      <c r="E40" s="87"/>
      <c r="F40" s="87"/>
      <c r="G40" s="88"/>
      <c r="J40" s="178" t="s">
        <v>208</v>
      </c>
      <c r="K40" s="143" t="s">
        <v>182</v>
      </c>
      <c r="L40" s="87"/>
      <c r="M40" s="87"/>
      <c r="N40" s="88"/>
      <c r="P40" s="233" t="s">
        <v>297</v>
      </c>
    </row>
    <row r="41" spans="2:16" x14ac:dyDescent="0.25">
      <c r="B41" s="137"/>
      <c r="C41" s="87"/>
      <c r="D41" s="87"/>
      <c r="E41" s="87"/>
      <c r="F41" s="87"/>
      <c r="G41" s="88"/>
      <c r="J41" s="7"/>
      <c r="K41" s="143" t="s">
        <v>183</v>
      </c>
      <c r="L41" s="87"/>
      <c r="M41" s="87"/>
      <c r="N41" s="88"/>
    </row>
    <row r="42" spans="2:16" x14ac:dyDescent="0.25">
      <c r="B42" s="147">
        <v>44682</v>
      </c>
      <c r="C42" s="139" t="s">
        <v>189</v>
      </c>
      <c r="D42" s="87"/>
      <c r="E42" s="87"/>
      <c r="F42" s="87"/>
      <c r="G42" s="88"/>
      <c r="J42" s="7"/>
      <c r="K42" s="145"/>
      <c r="L42" s="87"/>
      <c r="M42" s="87"/>
      <c r="N42" s="88"/>
      <c r="P42" s="233" t="s">
        <v>298</v>
      </c>
    </row>
    <row r="43" spans="2:16" x14ac:dyDescent="0.25">
      <c r="B43" s="137"/>
      <c r="C43" s="146" t="s">
        <v>188</v>
      </c>
      <c r="D43" s="87"/>
      <c r="E43" s="87"/>
      <c r="F43" s="87"/>
      <c r="G43" s="88"/>
      <c r="J43" s="7"/>
      <c r="K43" s="149" t="s">
        <v>191</v>
      </c>
      <c r="L43" s="141" t="s">
        <v>192</v>
      </c>
      <c r="M43" s="87"/>
      <c r="N43" s="88"/>
      <c r="P43" s="255" t="s">
        <v>299</v>
      </c>
    </row>
    <row r="44" spans="2:16" x14ac:dyDescent="0.25">
      <c r="B44" s="138"/>
      <c r="C44" s="92"/>
      <c r="D44" s="92"/>
      <c r="E44" s="92"/>
      <c r="F44" s="92"/>
      <c r="G44" s="94"/>
      <c r="J44" s="7"/>
      <c r="K44" s="144" t="s">
        <v>154</v>
      </c>
      <c r="L44" s="87"/>
      <c r="M44" s="87"/>
      <c r="N44" s="88"/>
      <c r="P44" s="255" t="s">
        <v>300</v>
      </c>
    </row>
    <row r="45" spans="2:16" x14ac:dyDescent="0.25">
      <c r="J45" s="7"/>
      <c r="K45" s="144" t="s">
        <v>155</v>
      </c>
      <c r="L45" s="87"/>
      <c r="M45" s="87"/>
      <c r="N45" s="88"/>
      <c r="P45" s="255" t="s">
        <v>309</v>
      </c>
    </row>
    <row r="46" spans="2:16" x14ac:dyDescent="0.25">
      <c r="B46" s="181" t="s">
        <v>215</v>
      </c>
      <c r="J46" s="7"/>
      <c r="K46" s="144" t="s">
        <v>156</v>
      </c>
      <c r="L46" s="87"/>
      <c r="M46" s="87"/>
      <c r="N46" s="88"/>
      <c r="P46" s="255" t="s">
        <v>310</v>
      </c>
    </row>
    <row r="47" spans="2:16" x14ac:dyDescent="0.25">
      <c r="B47" s="1" t="s">
        <v>220</v>
      </c>
      <c r="J47" s="7"/>
      <c r="K47" s="144" t="s">
        <v>157</v>
      </c>
      <c r="L47" s="87"/>
      <c r="M47" s="87"/>
      <c r="N47" s="88"/>
    </row>
    <row r="48" spans="2:16" x14ac:dyDescent="0.25">
      <c r="B48" s="200" t="s">
        <v>219</v>
      </c>
      <c r="J48" s="7"/>
      <c r="K48" s="202" t="s">
        <v>158</v>
      </c>
      <c r="L48" s="87"/>
      <c r="M48" s="87"/>
      <c r="N48" s="88"/>
      <c r="P48" s="233" t="s">
        <v>301</v>
      </c>
    </row>
    <row r="49" spans="2:25" x14ac:dyDescent="0.25">
      <c r="B49" s="200" t="s">
        <v>221</v>
      </c>
      <c r="K49" s="145"/>
      <c r="L49" s="87"/>
      <c r="M49" s="87"/>
      <c r="N49" s="88"/>
      <c r="P49" s="233" t="s">
        <v>306</v>
      </c>
    </row>
    <row r="50" spans="2:25" x14ac:dyDescent="0.25">
      <c r="B50" s="201" t="s">
        <v>222</v>
      </c>
      <c r="J50" s="203" t="s">
        <v>238</v>
      </c>
      <c r="K50" s="202" t="s">
        <v>236</v>
      </c>
      <c r="L50" s="141" t="s">
        <v>237</v>
      </c>
      <c r="M50" s="87"/>
      <c r="N50" s="88"/>
      <c r="P50" s="233" t="s">
        <v>303</v>
      </c>
    </row>
    <row r="51" spans="2:25" x14ac:dyDescent="0.25">
      <c r="B51" s="201" t="s">
        <v>223</v>
      </c>
      <c r="K51" s="254" t="s">
        <v>295</v>
      </c>
      <c r="L51" s="92"/>
      <c r="M51" s="92"/>
      <c r="N51" s="94"/>
      <c r="Y51" s="1" t="s">
        <v>329</v>
      </c>
    </row>
    <row r="52" spans="2:25" x14ac:dyDescent="0.25">
      <c r="B52" s="201" t="s">
        <v>224</v>
      </c>
      <c r="P52" s="233" t="s">
        <v>304</v>
      </c>
      <c r="Y52" s="291" t="s">
        <v>348</v>
      </c>
    </row>
    <row r="53" spans="2:25" x14ac:dyDescent="0.25">
      <c r="B53" s="201" t="s">
        <v>225</v>
      </c>
      <c r="P53" s="255" t="s">
        <v>307</v>
      </c>
      <c r="Y53" s="291" t="s">
        <v>349</v>
      </c>
    </row>
    <row r="54" spans="2:25" x14ac:dyDescent="0.25">
      <c r="P54" s="233" t="s">
        <v>305</v>
      </c>
      <c r="Y54" s="291" t="s">
        <v>350</v>
      </c>
    </row>
    <row r="55" spans="2:25" x14ac:dyDescent="0.25">
      <c r="B55" s="200" t="s">
        <v>226</v>
      </c>
      <c r="P55" s="233" t="s">
        <v>308</v>
      </c>
      <c r="Y55" s="291" t="s">
        <v>351</v>
      </c>
    </row>
    <row r="56" spans="2:25" x14ac:dyDescent="0.25">
      <c r="Y56" s="291" t="s">
        <v>352</v>
      </c>
    </row>
    <row r="57" spans="2:25" x14ac:dyDescent="0.25">
      <c r="B57" s="200" t="s">
        <v>227</v>
      </c>
      <c r="P57" s="233" t="s">
        <v>311</v>
      </c>
    </row>
    <row r="58" spans="2:25" x14ac:dyDescent="0.25">
      <c r="B58" s="200" t="s">
        <v>228</v>
      </c>
      <c r="Y58" s="291" t="s">
        <v>353</v>
      </c>
    </row>
    <row r="59" spans="2:25" x14ac:dyDescent="0.25">
      <c r="B59" s="201" t="s">
        <v>229</v>
      </c>
      <c r="P59" s="233" t="s">
        <v>312</v>
      </c>
      <c r="Y59" s="291" t="s">
        <v>354</v>
      </c>
    </row>
    <row r="60" spans="2:25" x14ac:dyDescent="0.25">
      <c r="B60" s="201" t="s">
        <v>230</v>
      </c>
      <c r="P60" s="255" t="s">
        <v>313</v>
      </c>
    </row>
    <row r="61" spans="2:25" x14ac:dyDescent="0.25">
      <c r="B61" s="201" t="s">
        <v>231</v>
      </c>
      <c r="P61" s="255" t="s">
        <v>314</v>
      </c>
      <c r="Y61" s="291" t="s">
        <v>355</v>
      </c>
    </row>
    <row r="62" spans="2:25" x14ac:dyDescent="0.25">
      <c r="B62" s="201" t="s">
        <v>232</v>
      </c>
      <c r="P62" s="255" t="s">
        <v>315</v>
      </c>
      <c r="Y62" s="291" t="s">
        <v>356</v>
      </c>
    </row>
    <row r="63" spans="2:25" x14ac:dyDescent="0.25">
      <c r="I63" s="19" t="s">
        <v>58</v>
      </c>
      <c r="P63" s="255" t="s">
        <v>316</v>
      </c>
      <c r="Y63" s="291" t="s">
        <v>357</v>
      </c>
    </row>
    <row r="64" spans="2:25" x14ac:dyDescent="0.25">
      <c r="B64" s="200" t="s">
        <v>233</v>
      </c>
      <c r="I64" s="20" t="s">
        <v>59</v>
      </c>
    </row>
    <row r="65" spans="2:25" x14ac:dyDescent="0.25">
      <c r="B65" s="200" t="s">
        <v>234</v>
      </c>
      <c r="I65" s="20" t="s">
        <v>60</v>
      </c>
      <c r="Y65" s="291" t="s">
        <v>358</v>
      </c>
    </row>
    <row r="66" spans="2:25" x14ac:dyDescent="0.25">
      <c r="I66" s="20" t="s">
        <v>61</v>
      </c>
      <c r="Y66" s="291" t="s">
        <v>359</v>
      </c>
    </row>
    <row r="67" spans="2:25" ht="15.75" x14ac:dyDescent="0.25">
      <c r="B67" s="200" t="s">
        <v>235</v>
      </c>
      <c r="I67" s="21" t="s">
        <v>63</v>
      </c>
      <c r="Y67" s="291" t="s">
        <v>360</v>
      </c>
    </row>
    <row r="68" spans="2:25" ht="15.75" x14ac:dyDescent="0.25">
      <c r="I68" s="21" t="s">
        <v>88</v>
      </c>
    </row>
    <row r="69" spans="2:25" ht="15.75" x14ac:dyDescent="0.25">
      <c r="B69" s="200" t="s">
        <v>239</v>
      </c>
      <c r="I69" s="21" t="s">
        <v>64</v>
      </c>
      <c r="Y69" s="1"/>
    </row>
    <row r="70" spans="2:25" x14ac:dyDescent="0.25">
      <c r="I70" s="82" t="s">
        <v>126</v>
      </c>
      <c r="Y70" s="291" t="s">
        <v>361</v>
      </c>
    </row>
    <row r="71" spans="2:25" x14ac:dyDescent="0.25">
      <c r="B71" s="200" t="s">
        <v>240</v>
      </c>
      <c r="Y71" s="291" t="s">
        <v>362</v>
      </c>
    </row>
    <row r="72" spans="2:25" x14ac:dyDescent="0.25">
      <c r="B72" s="201" t="s">
        <v>241</v>
      </c>
    </row>
    <row r="73" spans="2:25" x14ac:dyDescent="0.25">
      <c r="I73" s="97" t="s">
        <v>168</v>
      </c>
      <c r="Y73" s="291" t="s">
        <v>363</v>
      </c>
    </row>
    <row r="74" spans="2:25" x14ac:dyDescent="0.25">
      <c r="B74" s="200" t="s">
        <v>242</v>
      </c>
      <c r="I74" s="1" t="s">
        <v>135</v>
      </c>
    </row>
    <row r="75" spans="2:25" x14ac:dyDescent="0.25">
      <c r="I75" s="79" t="s">
        <v>136</v>
      </c>
      <c r="Y75" s="291" t="s">
        <v>330</v>
      </c>
    </row>
    <row r="76" spans="2:25" x14ac:dyDescent="0.25">
      <c r="B76" s="200" t="s">
        <v>244</v>
      </c>
      <c r="I76" s="85" t="s">
        <v>144</v>
      </c>
      <c r="Y76" s="291" t="s">
        <v>332</v>
      </c>
    </row>
    <row r="77" spans="2:25" x14ac:dyDescent="0.25">
      <c r="B77" s="201" t="s">
        <v>243</v>
      </c>
      <c r="I77" s="85" t="s">
        <v>145</v>
      </c>
      <c r="Y77" s="292" t="s">
        <v>334</v>
      </c>
    </row>
    <row r="78" spans="2:25" x14ac:dyDescent="0.25">
      <c r="I78" s="85" t="s">
        <v>146</v>
      </c>
      <c r="Y78" s="292" t="s">
        <v>335</v>
      </c>
    </row>
    <row r="79" spans="2:25" x14ac:dyDescent="0.25">
      <c r="B79" s="200" t="s">
        <v>245</v>
      </c>
      <c r="I79" s="85" t="s">
        <v>160</v>
      </c>
      <c r="Y79" s="292" t="s">
        <v>336</v>
      </c>
    </row>
    <row r="80" spans="2:25" x14ac:dyDescent="0.25">
      <c r="B80" s="201" t="s">
        <v>246</v>
      </c>
      <c r="I80" s="85" t="s">
        <v>147</v>
      </c>
    </row>
    <row r="81" spans="2:25" x14ac:dyDescent="0.25">
      <c r="Y81" s="291" t="s">
        <v>331</v>
      </c>
    </row>
    <row r="82" spans="2:25" x14ac:dyDescent="0.25">
      <c r="B82" s="200" t="s">
        <v>247</v>
      </c>
      <c r="Y82" s="291" t="s">
        <v>333</v>
      </c>
    </row>
    <row r="83" spans="2:25" x14ac:dyDescent="0.25">
      <c r="B83" s="201" t="s">
        <v>248</v>
      </c>
    </row>
    <row r="84" spans="2:25" x14ac:dyDescent="0.25">
      <c r="B84" s="201" t="s">
        <v>249</v>
      </c>
    </row>
    <row r="85" spans="2:25" x14ac:dyDescent="0.25">
      <c r="B85" s="201" t="s">
        <v>250</v>
      </c>
      <c r="Y85" s="291" t="s">
        <v>337</v>
      </c>
    </row>
    <row r="86" spans="2:25" x14ac:dyDescent="0.25">
      <c r="B86" s="204" t="s">
        <v>251</v>
      </c>
      <c r="Y86" s="291" t="s">
        <v>338</v>
      </c>
    </row>
    <row r="87" spans="2:25" x14ac:dyDescent="0.25">
      <c r="Y87" s="292" t="s">
        <v>339</v>
      </c>
    </row>
    <row r="89" spans="2:25" x14ac:dyDescent="0.25">
      <c r="Y89" s="291" t="s">
        <v>340</v>
      </c>
    </row>
    <row r="90" spans="2:25" x14ac:dyDescent="0.25">
      <c r="Y90" s="292" t="s">
        <v>341</v>
      </c>
    </row>
    <row r="91" spans="2:25" x14ac:dyDescent="0.25">
      <c r="Y91" s="292" t="s">
        <v>342</v>
      </c>
    </row>
    <row r="92" spans="2:25" x14ac:dyDescent="0.25">
      <c r="Y92" s="292" t="s">
        <v>343</v>
      </c>
    </row>
    <row r="93" spans="2:25" x14ac:dyDescent="0.25">
      <c r="Y93" s="292" t="s">
        <v>344</v>
      </c>
    </row>
    <row r="94" spans="2:25" x14ac:dyDescent="0.25">
      <c r="Y94" s="292"/>
    </row>
    <row r="95" spans="2:25" x14ac:dyDescent="0.25">
      <c r="Y95" s="291" t="s">
        <v>346</v>
      </c>
    </row>
    <row r="96" spans="2:25" x14ac:dyDescent="0.25">
      <c r="Y96" s="292" t="s">
        <v>345</v>
      </c>
    </row>
    <row r="97" spans="25:25" x14ac:dyDescent="0.25">
      <c r="Y97" s="292" t="s">
        <v>347</v>
      </c>
    </row>
  </sheetData>
  <mergeCells count="25">
    <mergeCell ref="L1:U1"/>
    <mergeCell ref="W1:AL1"/>
    <mergeCell ref="B33:G33"/>
    <mergeCell ref="K31:N31"/>
    <mergeCell ref="B5:D5"/>
    <mergeCell ref="C17:D17"/>
    <mergeCell ref="C19:D19"/>
    <mergeCell ref="F15:H15"/>
    <mergeCell ref="G16:H16"/>
    <mergeCell ref="G17:H17"/>
    <mergeCell ref="G18:H18"/>
    <mergeCell ref="G19:H19"/>
    <mergeCell ref="G20:H20"/>
    <mergeCell ref="B23:G23"/>
    <mergeCell ref="C20:D20"/>
    <mergeCell ref="B15:D15"/>
    <mergeCell ref="C18:D18"/>
    <mergeCell ref="F5:H5"/>
    <mergeCell ref="G6:H6"/>
    <mergeCell ref="G8:H8"/>
    <mergeCell ref="G9:H9"/>
    <mergeCell ref="G10:H10"/>
    <mergeCell ref="G12:H12"/>
    <mergeCell ref="C16:D16"/>
    <mergeCell ref="G7:H7"/>
  </mergeCells>
  <phoneticPr fontId="37" type="noConversion"/>
  <hyperlinks>
    <hyperlink ref="I67" r:id="rId1" xr:uid="{F79BC045-05D5-43FB-A051-BA2031CC85A7}"/>
    <hyperlink ref="I69" r:id="rId2" xr:uid="{58004FA9-9F7A-4B71-811E-FF4EE09F281F}"/>
    <hyperlink ref="G12:H12" r:id="rId3" display="Link" xr:uid="{D1B93EC0-D493-46C2-A484-2A4BB7A54A35}"/>
  </hyperlinks>
  <pageMargins left="0.7" right="0.7" top="0.75" bottom="0.75" header="0.3" footer="0.3"/>
  <pageSetup paperSize="119" orientation="portrait" horizontalDpi="203" verticalDpi="203" r:id="rId4"/>
  <ignoredErrors>
    <ignoredError sqref="G17:H20" formulaRange="1"/>
  </ignoredError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FDCAC-3416-844A-BCBB-390EC350CF59}">
  <dimension ref="B1:CE128"/>
  <sheetViews>
    <sheetView tabSelected="1" zoomScaleNormal="100" workbookViewId="0">
      <pane xSplit="2" ySplit="2" topLeftCell="AG3" activePane="bottomRight" state="frozen"/>
      <selection pane="topRight" activeCell="C1" sqref="C1"/>
      <selection pane="bottomLeft" activeCell="A2" sqref="A2"/>
      <selection pane="bottomRight" activeCell="AO5" sqref="AO5"/>
    </sheetView>
  </sheetViews>
  <sheetFormatPr defaultColWidth="9" defaultRowHeight="15.75" x14ac:dyDescent="0.25"/>
  <cols>
    <col min="1" max="1" width="4" style="6" customWidth="1"/>
    <col min="2" max="2" width="35.5" style="11" bestFit="1" customWidth="1"/>
    <col min="3" max="3" width="9.125" bestFit="1" customWidth="1"/>
    <col min="4" max="4" width="9.125" customWidth="1"/>
    <col min="5" max="5" width="9.125" bestFit="1" customWidth="1"/>
    <col min="6" max="10" width="9.125" style="7" bestFit="1" customWidth="1"/>
    <col min="11" max="14" width="9.125" style="7" customWidth="1"/>
    <col min="15" max="15" width="9" style="274"/>
    <col min="16" max="19" width="9" style="6"/>
    <col min="20" max="22" width="9" style="7"/>
    <col min="23" max="26" width="9" style="6"/>
    <col min="27" max="27" width="10.5" style="6" bestFit="1" customWidth="1"/>
    <col min="28" max="28" width="9.125" style="6" bestFit="1" customWidth="1"/>
    <col min="29" max="29" width="9" style="6"/>
    <col min="30" max="30" width="9" style="116" bestFit="1" customWidth="1"/>
    <col min="31" max="45" width="9" style="6"/>
    <col min="46" max="46" width="15.875" style="6" bestFit="1" customWidth="1"/>
    <col min="47" max="47" width="10" style="6" bestFit="1" customWidth="1"/>
    <col min="48" max="48" width="9" style="6"/>
    <col min="49" max="49" width="10.125" style="6" bestFit="1" customWidth="1"/>
    <col min="50" max="16384" width="9" style="6"/>
  </cols>
  <sheetData>
    <row r="1" spans="2:48" x14ac:dyDescent="0.25">
      <c r="C1" s="2" t="s">
        <v>67</v>
      </c>
      <c r="D1" s="2" t="s">
        <v>66</v>
      </c>
      <c r="E1" s="2" t="s">
        <v>65</v>
      </c>
      <c r="F1" s="2" t="s">
        <v>32</v>
      </c>
      <c r="G1" s="2" t="s">
        <v>10</v>
      </c>
      <c r="H1" s="2" t="s">
        <v>11</v>
      </c>
      <c r="I1" s="2" t="s">
        <v>12</v>
      </c>
      <c r="J1" s="2" t="s">
        <v>6</v>
      </c>
      <c r="K1" s="2" t="s">
        <v>8</v>
      </c>
      <c r="L1" s="152" t="s">
        <v>13</v>
      </c>
      <c r="M1" s="190" t="s">
        <v>109</v>
      </c>
      <c r="N1" s="230" t="s">
        <v>15</v>
      </c>
      <c r="O1" s="190" t="s">
        <v>108</v>
      </c>
      <c r="P1" s="152" t="s">
        <v>365</v>
      </c>
      <c r="Q1" s="311" t="s">
        <v>14</v>
      </c>
      <c r="R1" s="190" t="s">
        <v>391</v>
      </c>
      <c r="S1" s="2"/>
      <c r="T1" s="64" t="s">
        <v>8</v>
      </c>
      <c r="U1" s="153" t="s">
        <v>13</v>
      </c>
      <c r="V1" s="64" t="s">
        <v>14</v>
      </c>
      <c r="W1" s="234" t="s">
        <v>15</v>
      </c>
      <c r="X1" s="276" t="s">
        <v>108</v>
      </c>
      <c r="AA1" s="2" t="s">
        <v>89</v>
      </c>
      <c r="AB1" s="2" t="s">
        <v>90</v>
      </c>
      <c r="AC1" s="2" t="s">
        <v>91</v>
      </c>
      <c r="AD1" s="107" t="s">
        <v>95</v>
      </c>
      <c r="AE1" s="2" t="s">
        <v>96</v>
      </c>
      <c r="AF1" s="2" t="s">
        <v>97</v>
      </c>
      <c r="AG1" s="2" t="s">
        <v>98</v>
      </c>
      <c r="AH1" s="2" t="s">
        <v>99</v>
      </c>
      <c r="AI1" s="2" t="s">
        <v>100</v>
      </c>
      <c r="AJ1" s="2" t="s">
        <v>101</v>
      </c>
      <c r="AK1" s="2" t="s">
        <v>102</v>
      </c>
      <c r="AL1" s="2" t="s">
        <v>103</v>
      </c>
      <c r="AM1" s="2" t="s">
        <v>104</v>
      </c>
      <c r="AN1" s="2" t="s">
        <v>105</v>
      </c>
      <c r="AO1" s="2" t="s">
        <v>106</v>
      </c>
      <c r="AP1" s="2" t="s">
        <v>107</v>
      </c>
      <c r="AQ1" s="2" t="s">
        <v>112</v>
      </c>
      <c r="AR1" s="2" t="s">
        <v>113</v>
      </c>
    </row>
    <row r="2" spans="2:48" s="1" customFormat="1" ht="15" x14ac:dyDescent="0.25">
      <c r="C2" s="33">
        <v>43921</v>
      </c>
      <c r="D2" s="33">
        <v>44012</v>
      </c>
      <c r="E2" s="33">
        <v>44104</v>
      </c>
      <c r="F2" s="35">
        <v>44196</v>
      </c>
      <c r="G2" s="33">
        <v>44286</v>
      </c>
      <c r="H2" s="33">
        <v>44377</v>
      </c>
      <c r="I2" s="33">
        <v>44469</v>
      </c>
      <c r="J2" s="33">
        <v>44561</v>
      </c>
      <c r="K2" s="33">
        <v>44651</v>
      </c>
      <c r="L2" s="33">
        <v>44742</v>
      </c>
      <c r="M2" s="33">
        <v>44834</v>
      </c>
      <c r="N2" s="33">
        <v>44926</v>
      </c>
      <c r="O2" s="33">
        <v>45016</v>
      </c>
      <c r="P2" s="33">
        <v>45107</v>
      </c>
      <c r="Q2" s="33">
        <v>45199</v>
      </c>
      <c r="R2" s="33">
        <v>45291</v>
      </c>
      <c r="T2" s="65" t="s">
        <v>285</v>
      </c>
      <c r="U2" s="154" t="s">
        <v>286</v>
      </c>
      <c r="V2" s="65" t="s">
        <v>285</v>
      </c>
      <c r="W2" s="235" t="s">
        <v>287</v>
      </c>
      <c r="X2" s="235" t="s">
        <v>287</v>
      </c>
      <c r="AA2" s="33">
        <v>44196</v>
      </c>
      <c r="AB2" s="33">
        <v>44561</v>
      </c>
      <c r="AC2" s="253">
        <v>44926</v>
      </c>
      <c r="AD2" s="108" t="s">
        <v>119</v>
      </c>
      <c r="AE2" s="48" t="s">
        <v>119</v>
      </c>
      <c r="AF2" s="48" t="s">
        <v>119</v>
      </c>
      <c r="AG2" s="48" t="s">
        <v>119</v>
      </c>
      <c r="AH2" s="48" t="s">
        <v>119</v>
      </c>
      <c r="AI2" s="48" t="s">
        <v>119</v>
      </c>
      <c r="AJ2" s="48" t="s">
        <v>119</v>
      </c>
      <c r="AK2" s="48" t="s">
        <v>119</v>
      </c>
      <c r="AL2" s="48" t="s">
        <v>119</v>
      </c>
      <c r="AM2" s="48" t="s">
        <v>119</v>
      </c>
      <c r="AN2" s="48" t="s">
        <v>119</v>
      </c>
      <c r="AO2" s="48" t="s">
        <v>119</v>
      </c>
      <c r="AP2" s="48" t="s">
        <v>119</v>
      </c>
      <c r="AQ2" s="48" t="s">
        <v>119</v>
      </c>
      <c r="AR2" s="48" t="s">
        <v>119</v>
      </c>
    </row>
    <row r="3" spans="2:48" s="9" customFormat="1" ht="15" x14ac:dyDescent="0.25">
      <c r="B3" s="3" t="s">
        <v>9</v>
      </c>
      <c r="C3" s="4">
        <v>161.57</v>
      </c>
      <c r="D3" s="4">
        <v>200.392</v>
      </c>
      <c r="E3" s="4">
        <v>251.91399999999999</v>
      </c>
      <c r="F3" s="4">
        <v>310.00900000000001</v>
      </c>
      <c r="G3" s="4">
        <v>386.976</v>
      </c>
      <c r="H3" s="4">
        <v>454.1</v>
      </c>
      <c r="I3" s="4">
        <v>509.33600000000001</v>
      </c>
      <c r="J3" s="4">
        <v>568.76900000000001</v>
      </c>
      <c r="K3" s="4">
        <v>537.13400000000001</v>
      </c>
      <c r="L3" s="4">
        <v>591.20699999999999</v>
      </c>
      <c r="M3" s="4">
        <v>517.70699999999999</v>
      </c>
      <c r="N3" s="4">
        <v>579.00400000000002</v>
      </c>
      <c r="O3" s="268">
        <v>655.34400000000005</v>
      </c>
      <c r="P3" s="3">
        <v>680.76599999999996</v>
      </c>
      <c r="Q3" s="3">
        <v>713.22500000000002</v>
      </c>
      <c r="R3" s="3">
        <v>749.93899999999996</v>
      </c>
      <c r="T3" s="66">
        <f>G3*1.67</f>
        <v>646.24991999999997</v>
      </c>
      <c r="U3" s="155">
        <f>H3*1.23</f>
        <v>558.54300000000001</v>
      </c>
      <c r="V3" s="66">
        <f>I3*1.25</f>
        <v>636.67000000000007</v>
      </c>
      <c r="W3" s="236">
        <v>621.24839999999995</v>
      </c>
      <c r="X3" s="277">
        <v>607.95420000000001</v>
      </c>
      <c r="AA3" s="3">
        <f>SUM(C3:F3)</f>
        <v>923.88499999999999</v>
      </c>
      <c r="AB3" s="3">
        <f>SUM(G3:J3)</f>
        <v>1919.181</v>
      </c>
      <c r="AC3" s="3">
        <f>SUM(K3:N3)</f>
        <v>2225.0519999999997</v>
      </c>
      <c r="AD3" s="113">
        <f>AC3*1.3</f>
        <v>2892.5675999999999</v>
      </c>
      <c r="AE3" s="3">
        <f t="shared" ref="AE3:AP3" si="0">AD3*1.15</f>
        <v>3326.4527399999997</v>
      </c>
      <c r="AF3" s="3">
        <f t="shared" si="0"/>
        <v>3825.4206509999995</v>
      </c>
      <c r="AG3" s="3">
        <f t="shared" si="0"/>
        <v>4399.2337486499991</v>
      </c>
      <c r="AH3" s="3">
        <f>AG3*1.05</f>
        <v>4619.1954360824993</v>
      </c>
      <c r="AI3" s="3">
        <f t="shared" si="0"/>
        <v>5312.0747514948735</v>
      </c>
      <c r="AJ3" s="3">
        <f t="shared" si="0"/>
        <v>6108.8859642191037</v>
      </c>
      <c r="AK3" s="3">
        <f t="shared" si="0"/>
        <v>7025.2188588519684</v>
      </c>
      <c r="AL3" s="3">
        <f t="shared" si="0"/>
        <v>8079.0016876797627</v>
      </c>
      <c r="AM3" s="3">
        <f t="shared" si="0"/>
        <v>9290.8519408317261</v>
      </c>
      <c r="AN3" s="3">
        <f t="shared" si="0"/>
        <v>10684.479731956484</v>
      </c>
      <c r="AO3" s="3">
        <f t="shared" si="0"/>
        <v>12287.151691749956</v>
      </c>
      <c r="AP3" s="3">
        <f t="shared" si="0"/>
        <v>14130.224445512447</v>
      </c>
      <c r="AQ3" s="3">
        <f t="shared" ref="AQ3:AR3" si="1">AP3*1.15</f>
        <v>16249.758112339314</v>
      </c>
      <c r="AR3" s="3">
        <f t="shared" si="1"/>
        <v>18687.22182919021</v>
      </c>
    </row>
    <row r="4" spans="2:48" ht="15" x14ac:dyDescent="0.25">
      <c r="B4" s="6" t="s">
        <v>34</v>
      </c>
      <c r="C4" s="5">
        <v>41.792999999999999</v>
      </c>
      <c r="D4" s="5">
        <v>53.668999999999997</v>
      </c>
      <c r="E4" s="5">
        <v>65.817999999999998</v>
      </c>
      <c r="F4" s="5">
        <v>78.617999999999995</v>
      </c>
      <c r="G4" s="5">
        <v>97.936999999999998</v>
      </c>
      <c r="H4" s="5">
        <v>116.93</v>
      </c>
      <c r="I4" s="5">
        <v>130.01499999999999</v>
      </c>
      <c r="J4" s="5">
        <v>151.988</v>
      </c>
      <c r="K4" s="5">
        <v>135.63200000000001</v>
      </c>
      <c r="L4" s="5">
        <v>143.15700000000001</v>
      </c>
      <c r="M4" s="5">
        <v>126.437</v>
      </c>
      <c r="N4" s="5">
        <v>142.43199999999999</v>
      </c>
      <c r="O4" s="183">
        <v>151.84100000000001</v>
      </c>
      <c r="P4" s="9">
        <v>162.029</v>
      </c>
      <c r="Q4" s="9">
        <v>163.58099999999999</v>
      </c>
      <c r="R4" s="46">
        <v>171.66399999999999</v>
      </c>
      <c r="T4" s="67">
        <f>T3-T5</f>
        <v>174.48747839999999</v>
      </c>
      <c r="U4" s="156">
        <f>U3-U5</f>
        <v>145.22118</v>
      </c>
      <c r="V4" s="67">
        <f>V3-V5</f>
        <v>165.5342</v>
      </c>
      <c r="W4" s="237">
        <v>107.47144999999999</v>
      </c>
      <c r="X4" s="278">
        <v>151.98855</v>
      </c>
      <c r="AA4" s="36">
        <f>SUM(C4:F4)</f>
        <v>239.89799999999997</v>
      </c>
      <c r="AB4" s="36">
        <f>SUM(G4:J4)</f>
        <v>496.87</v>
      </c>
      <c r="AC4" s="224">
        <f>SUM(K4:N4)</f>
        <v>547.65800000000002</v>
      </c>
      <c r="AD4" s="114">
        <f>AD3-AD5</f>
        <v>665.29054799999994</v>
      </c>
      <c r="AE4" s="9">
        <f t="shared" ref="AE4:AP4" si="2">AE3-AE5</f>
        <v>765.08413019999989</v>
      </c>
      <c r="AF4" s="9">
        <f t="shared" si="2"/>
        <v>879.84674972999983</v>
      </c>
      <c r="AG4" s="9">
        <f t="shared" si="2"/>
        <v>1011.8237621894996</v>
      </c>
      <c r="AH4" s="9">
        <f t="shared" si="2"/>
        <v>1062.4149502989749</v>
      </c>
      <c r="AI4" s="9">
        <f t="shared" si="2"/>
        <v>1221.777192843821</v>
      </c>
      <c r="AJ4" s="9">
        <f t="shared" si="2"/>
        <v>1405.0437717703935</v>
      </c>
      <c r="AK4" s="9">
        <f t="shared" si="2"/>
        <v>1615.8003375359522</v>
      </c>
      <c r="AL4" s="9">
        <f t="shared" si="2"/>
        <v>1858.1703881663452</v>
      </c>
      <c r="AM4" s="9">
        <f t="shared" si="2"/>
        <v>2136.895946391297</v>
      </c>
      <c r="AN4" s="9">
        <f t="shared" si="2"/>
        <v>2457.4303383499919</v>
      </c>
      <c r="AO4" s="9">
        <f t="shared" si="2"/>
        <v>2826.0448891024898</v>
      </c>
      <c r="AP4" s="9">
        <f t="shared" si="2"/>
        <v>3249.9516224678628</v>
      </c>
      <c r="AQ4" s="9">
        <f t="shared" ref="AQ4" si="3">AQ3-AQ5</f>
        <v>3737.4443658380424</v>
      </c>
      <c r="AR4" s="9">
        <f t="shared" ref="AR4" si="4">AR3-AR5</f>
        <v>4298.0610207137488</v>
      </c>
    </row>
    <row r="5" spans="2:48" ht="15" x14ac:dyDescent="0.25">
      <c r="B5" s="1" t="s">
        <v>17</v>
      </c>
      <c r="C5" s="4">
        <f t="shared" ref="C5:J5" si="5">C3-C4</f>
        <v>119.77699999999999</v>
      </c>
      <c r="D5" s="4">
        <f t="shared" si="5"/>
        <v>146.72300000000001</v>
      </c>
      <c r="E5" s="4">
        <f t="shared" si="5"/>
        <v>186.096</v>
      </c>
      <c r="F5" s="4">
        <f t="shared" si="5"/>
        <v>231.39100000000002</v>
      </c>
      <c r="G5" s="4">
        <f t="shared" si="5"/>
        <v>289.03899999999999</v>
      </c>
      <c r="H5" s="4">
        <f t="shared" si="5"/>
        <v>337.17</v>
      </c>
      <c r="I5" s="4">
        <f t="shared" si="5"/>
        <v>379.32100000000003</v>
      </c>
      <c r="J5" s="4">
        <f t="shared" si="5"/>
        <v>416.78100000000001</v>
      </c>
      <c r="K5" s="4">
        <f t="shared" ref="K5:R5" si="6">K3-K4</f>
        <v>401.50200000000001</v>
      </c>
      <c r="L5" s="4">
        <f t="shared" si="6"/>
        <v>448.04999999999995</v>
      </c>
      <c r="M5" s="4">
        <f t="shared" si="6"/>
        <v>391.27</v>
      </c>
      <c r="N5" s="4">
        <f t="shared" si="6"/>
        <v>436.572</v>
      </c>
      <c r="O5" s="4">
        <f t="shared" si="6"/>
        <v>503.50300000000004</v>
      </c>
      <c r="P5" s="4">
        <f t="shared" si="6"/>
        <v>518.73699999999997</v>
      </c>
      <c r="Q5" s="4">
        <f t="shared" si="6"/>
        <v>549.64400000000001</v>
      </c>
      <c r="R5" s="4">
        <f t="shared" si="6"/>
        <v>578.27499999999998</v>
      </c>
      <c r="S5" s="1"/>
      <c r="T5" s="68">
        <f>T3*0.73</f>
        <v>471.76244159999999</v>
      </c>
      <c r="U5" s="157">
        <f>U3*0.74</f>
        <v>413.32182</v>
      </c>
      <c r="V5" s="68">
        <f>V3*0.74</f>
        <v>471.13580000000007</v>
      </c>
      <c r="W5" s="238">
        <v>472.14878399999998</v>
      </c>
      <c r="X5" s="279">
        <v>455.96564999999998</v>
      </c>
      <c r="Y5" s="1"/>
      <c r="Z5" s="1"/>
      <c r="AA5" s="3">
        <f>AA3-AA4</f>
        <v>683.98700000000008</v>
      </c>
      <c r="AB5" s="3">
        <f>AB3-AB4</f>
        <v>1422.3110000000001</v>
      </c>
      <c r="AC5" s="3">
        <f>AC3-AC4</f>
        <v>1677.3939999999998</v>
      </c>
      <c r="AD5" s="113">
        <f>AD3*0.77</f>
        <v>2227.2770519999999</v>
      </c>
      <c r="AE5" s="3">
        <f>AE3*0.77</f>
        <v>2561.3686097999998</v>
      </c>
      <c r="AF5" s="3">
        <f t="shared" ref="AF5:AR5" si="7">AF3*0.77</f>
        <v>2945.5739012699996</v>
      </c>
      <c r="AG5" s="3">
        <f t="shared" si="7"/>
        <v>3387.4099864604996</v>
      </c>
      <c r="AH5" s="3">
        <f t="shared" si="7"/>
        <v>3556.7804857835245</v>
      </c>
      <c r="AI5" s="3">
        <f t="shared" si="7"/>
        <v>4090.2975586510524</v>
      </c>
      <c r="AJ5" s="3">
        <f t="shared" si="7"/>
        <v>4703.8421924487102</v>
      </c>
      <c r="AK5" s="3">
        <f t="shared" si="7"/>
        <v>5409.4185213160163</v>
      </c>
      <c r="AL5" s="3">
        <f t="shared" si="7"/>
        <v>6220.8312995134174</v>
      </c>
      <c r="AM5" s="3">
        <f t="shared" si="7"/>
        <v>7153.9559944404291</v>
      </c>
      <c r="AN5" s="3">
        <f t="shared" si="7"/>
        <v>8227.0493936064922</v>
      </c>
      <c r="AO5" s="3">
        <f t="shared" si="7"/>
        <v>9461.1068026474659</v>
      </c>
      <c r="AP5" s="3">
        <f t="shared" si="7"/>
        <v>10880.272823044585</v>
      </c>
      <c r="AQ5" s="3">
        <f t="shared" si="7"/>
        <v>12512.313746501271</v>
      </c>
      <c r="AR5" s="3">
        <f t="shared" si="7"/>
        <v>14389.160808476461</v>
      </c>
    </row>
    <row r="6" spans="2:48" ht="15" x14ac:dyDescent="0.25">
      <c r="B6" s="6" t="s">
        <v>18</v>
      </c>
      <c r="C6" s="5">
        <v>44.499000000000002</v>
      </c>
      <c r="D6" s="5">
        <v>85.052000000000007</v>
      </c>
      <c r="E6" s="5">
        <v>85.474999999999994</v>
      </c>
      <c r="F6" s="5">
        <v>113.714</v>
      </c>
      <c r="G6" s="5">
        <v>118.938</v>
      </c>
      <c r="H6" s="5">
        <v>129.714</v>
      </c>
      <c r="I6" s="5">
        <v>129.952</v>
      </c>
      <c r="J6" s="5">
        <v>159.71700000000001</v>
      </c>
      <c r="K6" s="5">
        <v>147.12200000000001</v>
      </c>
      <c r="L6" s="5">
        <v>143.148</v>
      </c>
      <c r="M6" s="5">
        <v>151.47</v>
      </c>
      <c r="N6" s="218">
        <v>182.11500000000001</v>
      </c>
      <c r="O6" s="272">
        <v>182.44</v>
      </c>
      <c r="P6" s="272">
        <v>165.84299999999999</v>
      </c>
      <c r="Q6" s="272">
        <v>170.71899999999999</v>
      </c>
      <c r="R6" s="272">
        <v>221.75</v>
      </c>
      <c r="S6" s="23"/>
      <c r="T6" s="69">
        <f>G6*1.025</f>
        <v>121.91144999999999</v>
      </c>
      <c r="U6" s="158">
        <f>H6*1.23</f>
        <v>159.54821999999999</v>
      </c>
      <c r="V6" s="69">
        <f>I6*1.15</f>
        <v>149.44479999999999</v>
      </c>
      <c r="W6" s="239">
        <v>183.67455000000001</v>
      </c>
      <c r="X6" s="280"/>
      <c r="AA6" s="36">
        <f>SUM(C6:F6)</f>
        <v>328.74</v>
      </c>
      <c r="AB6" s="36">
        <f>SUM(G6:J6)</f>
        <v>538.32100000000003</v>
      </c>
      <c r="AC6" s="36">
        <f>SUM(K6:N6)</f>
        <v>623.85500000000002</v>
      </c>
      <c r="AD6" s="225">
        <f>AC6*1.015</f>
        <v>633.21282499999995</v>
      </c>
      <c r="AE6" s="46">
        <f t="shared" ref="AE6:AP6" si="8">AD6*1.015</f>
        <v>642.71101737499987</v>
      </c>
      <c r="AF6" s="46">
        <f t="shared" si="8"/>
        <v>652.3516826356248</v>
      </c>
      <c r="AG6" s="46">
        <f t="shared" si="8"/>
        <v>662.13695787515906</v>
      </c>
      <c r="AH6" s="46">
        <f t="shared" si="8"/>
        <v>672.06901224328635</v>
      </c>
      <c r="AI6" s="46">
        <f t="shared" si="8"/>
        <v>682.15004742693554</v>
      </c>
      <c r="AJ6" s="46">
        <f t="shared" si="8"/>
        <v>692.38229813833948</v>
      </c>
      <c r="AK6" s="46">
        <f t="shared" si="8"/>
        <v>702.76803261041448</v>
      </c>
      <c r="AL6" s="46">
        <f t="shared" si="8"/>
        <v>713.30955309957062</v>
      </c>
      <c r="AM6" s="46">
        <f t="shared" si="8"/>
        <v>724.00919639606411</v>
      </c>
      <c r="AN6" s="46">
        <f t="shared" si="8"/>
        <v>734.869334342005</v>
      </c>
      <c r="AO6" s="46">
        <f t="shared" si="8"/>
        <v>745.89237435713505</v>
      </c>
      <c r="AP6" s="46">
        <f t="shared" si="8"/>
        <v>757.08075997249205</v>
      </c>
      <c r="AQ6" s="46">
        <f t="shared" ref="AQ6:AR6" si="9">AP6*1.015</f>
        <v>768.43697137207937</v>
      </c>
      <c r="AR6" s="46">
        <f t="shared" si="9"/>
        <v>779.96352594266045</v>
      </c>
    </row>
    <row r="7" spans="2:48" ht="15" x14ac:dyDescent="0.25">
      <c r="B7" s="6" t="s">
        <v>19</v>
      </c>
      <c r="C7" s="5">
        <v>52.62</v>
      </c>
      <c r="D7" s="5">
        <v>61.853000000000002</v>
      </c>
      <c r="E7" s="5">
        <v>71.405000000000001</v>
      </c>
      <c r="F7" s="5">
        <v>78.347999999999999</v>
      </c>
      <c r="G7" s="5">
        <v>94.135999999999996</v>
      </c>
      <c r="H7" s="5">
        <v>108.986</v>
      </c>
      <c r="I7" s="5">
        <v>117.387</v>
      </c>
      <c r="J7" s="5">
        <v>135.989</v>
      </c>
      <c r="K7" s="5">
        <v>141.35499999999999</v>
      </c>
      <c r="L7" s="5">
        <v>158.23500000000001</v>
      </c>
      <c r="M7" s="5">
        <v>190.98599999999999</v>
      </c>
      <c r="N7" s="218">
        <v>198.505</v>
      </c>
      <c r="O7" s="272">
        <v>211.04400000000001</v>
      </c>
      <c r="P7" s="272">
        <v>225.03899999999999</v>
      </c>
      <c r="Q7" s="272">
        <v>218.96799999999999</v>
      </c>
      <c r="R7" s="272">
        <v>223.31</v>
      </c>
      <c r="S7" s="23"/>
      <c r="T7" s="69">
        <f>J7*1.11</f>
        <v>150.94779000000003</v>
      </c>
      <c r="U7" s="158">
        <f>H7*1.5</f>
        <v>163.47900000000001</v>
      </c>
      <c r="V7" s="69">
        <f>I7*1.5</f>
        <v>176.0805</v>
      </c>
      <c r="W7" s="239">
        <v>203.98349999999999</v>
      </c>
      <c r="X7" s="280"/>
      <c r="AA7" s="36">
        <f>SUM(C7:F7)</f>
        <v>264.226</v>
      </c>
      <c r="AB7" s="36">
        <f>SUM(G7:J7)</f>
        <v>456.49800000000005</v>
      </c>
      <c r="AC7" s="36">
        <f>SUM(K7:N7)</f>
        <v>689.08100000000002</v>
      </c>
      <c r="AD7" s="225">
        <f>AC7*1.05</f>
        <v>723.53505000000007</v>
      </c>
      <c r="AE7" s="46">
        <f t="shared" ref="AE7:AP7" si="10">AD7*1.05</f>
        <v>759.71180250000009</v>
      </c>
      <c r="AF7" s="46">
        <f t="shared" si="10"/>
        <v>797.69739262500013</v>
      </c>
      <c r="AG7" s="46">
        <f t="shared" si="10"/>
        <v>837.58226225625015</v>
      </c>
      <c r="AH7" s="46">
        <f t="shared" si="10"/>
        <v>879.46137536906269</v>
      </c>
      <c r="AI7" s="46">
        <f t="shared" si="10"/>
        <v>923.43444413751581</v>
      </c>
      <c r="AJ7" s="46">
        <f t="shared" si="10"/>
        <v>969.60616634439168</v>
      </c>
      <c r="AK7" s="46">
        <f t="shared" si="10"/>
        <v>1018.0864746616113</v>
      </c>
      <c r="AL7" s="46">
        <f t="shared" si="10"/>
        <v>1068.9907983946919</v>
      </c>
      <c r="AM7" s="46">
        <f t="shared" si="10"/>
        <v>1122.4403383144265</v>
      </c>
      <c r="AN7" s="46">
        <f t="shared" si="10"/>
        <v>1178.5623552301479</v>
      </c>
      <c r="AO7" s="46">
        <f t="shared" si="10"/>
        <v>1237.4904729916552</v>
      </c>
      <c r="AP7" s="46">
        <f t="shared" si="10"/>
        <v>1299.3649966412381</v>
      </c>
      <c r="AQ7" s="46">
        <f t="shared" ref="AQ7:AR7" si="11">AP7*1.05</f>
        <v>1364.3332464733001</v>
      </c>
      <c r="AR7" s="46">
        <f t="shared" si="11"/>
        <v>1432.5499087969652</v>
      </c>
    </row>
    <row r="8" spans="2:48" ht="15" x14ac:dyDescent="0.25">
      <c r="B8" s="6" t="s">
        <v>20</v>
      </c>
      <c r="C8" s="5">
        <v>49.408999999999999</v>
      </c>
      <c r="D8" s="5">
        <v>40.249000000000002</v>
      </c>
      <c r="E8" s="5">
        <v>51.707999999999998</v>
      </c>
      <c r="F8" s="5">
        <v>60.067</v>
      </c>
      <c r="G8" s="5">
        <v>96.644000000000005</v>
      </c>
      <c r="H8" s="5">
        <v>124.748</v>
      </c>
      <c r="I8" s="5">
        <v>138.245</v>
      </c>
      <c r="J8" s="5">
        <v>173.57</v>
      </c>
      <c r="K8" s="5">
        <v>177.762</v>
      </c>
      <c r="L8" s="5">
        <v>211.75700000000001</v>
      </c>
      <c r="M8" s="5">
        <v>235.55099999999999</v>
      </c>
      <c r="N8" s="219">
        <v>248.40700000000001</v>
      </c>
      <c r="O8" s="183">
        <v>275.53699999999998</v>
      </c>
      <c r="P8" s="183">
        <v>315.31900000000002</v>
      </c>
      <c r="Q8" s="183">
        <v>321.613</v>
      </c>
      <c r="R8" s="61">
        <v>341.12900000000002</v>
      </c>
      <c r="S8" s="61"/>
      <c r="T8" s="70">
        <f>J8*1.1</f>
        <v>190.92700000000002</v>
      </c>
      <c r="U8" s="159">
        <f>K8*1.012</f>
        <v>179.89514400000002</v>
      </c>
      <c r="V8" s="70">
        <f>U8*1.012</f>
        <v>182.05388572800001</v>
      </c>
      <c r="W8" s="240">
        <v>254.39508000000001</v>
      </c>
      <c r="X8" s="281">
        <v>255.85921000000002</v>
      </c>
      <c r="AA8" s="36">
        <f>SUM(C8:F8)</f>
        <v>201.43299999999999</v>
      </c>
      <c r="AB8" s="36">
        <f>SUM(G8:J8)</f>
        <v>533.20699999999999</v>
      </c>
      <c r="AC8" s="36">
        <f>SUM(K8:N8)</f>
        <v>873.47699999999998</v>
      </c>
      <c r="AD8" s="225">
        <f>AC8*1</f>
        <v>873.47699999999998</v>
      </c>
      <c r="AE8" s="46">
        <f t="shared" ref="AE8:AP8" si="12">AD8*1</f>
        <v>873.47699999999998</v>
      </c>
      <c r="AF8" s="46">
        <f t="shared" si="12"/>
        <v>873.47699999999998</v>
      </c>
      <c r="AG8" s="46">
        <f t="shared" si="12"/>
        <v>873.47699999999998</v>
      </c>
      <c r="AH8" s="46">
        <f t="shared" si="12"/>
        <v>873.47699999999998</v>
      </c>
      <c r="AI8" s="46">
        <f t="shared" si="12"/>
        <v>873.47699999999998</v>
      </c>
      <c r="AJ8" s="46">
        <f t="shared" si="12"/>
        <v>873.47699999999998</v>
      </c>
      <c r="AK8" s="46">
        <f t="shared" si="12"/>
        <v>873.47699999999998</v>
      </c>
      <c r="AL8" s="46">
        <f t="shared" si="12"/>
        <v>873.47699999999998</v>
      </c>
      <c r="AM8" s="46">
        <f t="shared" si="12"/>
        <v>873.47699999999998</v>
      </c>
      <c r="AN8" s="46">
        <f t="shared" si="12"/>
        <v>873.47699999999998</v>
      </c>
      <c r="AO8" s="46">
        <f t="shared" si="12"/>
        <v>873.47699999999998</v>
      </c>
      <c r="AP8" s="46">
        <f t="shared" si="12"/>
        <v>873.47699999999998</v>
      </c>
      <c r="AQ8" s="46">
        <f t="shared" ref="AQ8:AR8" si="13">AP8*1</f>
        <v>873.47699999999998</v>
      </c>
      <c r="AR8" s="46">
        <f t="shared" si="13"/>
        <v>873.47699999999998</v>
      </c>
    </row>
    <row r="9" spans="2:48" ht="15" x14ac:dyDescent="0.25">
      <c r="B9" s="6" t="s">
        <v>21</v>
      </c>
      <c r="C9" s="5">
        <v>30.558</v>
      </c>
      <c r="D9" s="5">
        <v>18.707000000000001</v>
      </c>
      <c r="E9" s="5">
        <v>16.167999999999999</v>
      </c>
      <c r="F9" s="5">
        <v>31.908000000000001</v>
      </c>
      <c r="G9" s="5">
        <v>94.375</v>
      </c>
      <c r="H9" s="5">
        <v>97.677999999999997</v>
      </c>
      <c r="I9" s="5">
        <v>51.584000000000003</v>
      </c>
      <c r="J9" s="5">
        <v>59.383000000000003</v>
      </c>
      <c r="K9" s="5">
        <v>57.771999999999998</v>
      </c>
      <c r="L9" s="5">
        <v>78.676000000000002</v>
      </c>
      <c r="M9" s="5">
        <v>81.165000000000006</v>
      </c>
      <c r="N9" s="5">
        <v>79.703999999999994</v>
      </c>
      <c r="O9" s="183">
        <v>97.573999999999998</v>
      </c>
      <c r="P9" s="183">
        <v>96.197000000000003</v>
      </c>
      <c r="Q9" s="183">
        <v>97.507999999999996</v>
      </c>
      <c r="R9" s="183">
        <v>98.775999999999996</v>
      </c>
      <c r="S9" s="23"/>
      <c r="T9" s="67">
        <f>G9*1.01</f>
        <v>95.318749999999994</v>
      </c>
      <c r="U9" s="156">
        <f>K9*1.01</f>
        <v>58.349719999999998</v>
      </c>
      <c r="V9" s="67">
        <f>U9*1.01</f>
        <v>58.933217200000001</v>
      </c>
      <c r="W9" s="237">
        <v>81.976650000000006</v>
      </c>
      <c r="X9" s="278"/>
      <c r="AA9" s="36">
        <f>SUM(C9:F9)</f>
        <v>97.340999999999994</v>
      </c>
      <c r="AB9" s="36">
        <f>SUM(G9:J9)</f>
        <v>303.02</v>
      </c>
      <c r="AC9" s="36">
        <f>SUM(K9:N9)</f>
        <v>297.31700000000001</v>
      </c>
      <c r="AD9" s="225">
        <f>AC9*1</f>
        <v>297.31700000000001</v>
      </c>
      <c r="AE9" s="46">
        <f t="shared" ref="AE9:AP9" si="14">AD9*1</f>
        <v>297.31700000000001</v>
      </c>
      <c r="AF9" s="46">
        <f t="shared" si="14"/>
        <v>297.31700000000001</v>
      </c>
      <c r="AG9" s="46">
        <f t="shared" si="14"/>
        <v>297.31700000000001</v>
      </c>
      <c r="AH9" s="46">
        <f t="shared" si="14"/>
        <v>297.31700000000001</v>
      </c>
      <c r="AI9" s="46">
        <f t="shared" si="14"/>
        <v>297.31700000000001</v>
      </c>
      <c r="AJ9" s="46">
        <f t="shared" si="14"/>
        <v>297.31700000000001</v>
      </c>
      <c r="AK9" s="46">
        <f t="shared" si="14"/>
        <v>297.31700000000001</v>
      </c>
      <c r="AL9" s="46">
        <f t="shared" si="14"/>
        <v>297.31700000000001</v>
      </c>
      <c r="AM9" s="46">
        <f t="shared" si="14"/>
        <v>297.31700000000001</v>
      </c>
      <c r="AN9" s="46">
        <f t="shared" si="14"/>
        <v>297.31700000000001</v>
      </c>
      <c r="AO9" s="46">
        <f t="shared" si="14"/>
        <v>297.31700000000001</v>
      </c>
      <c r="AP9" s="46">
        <f t="shared" si="14"/>
        <v>297.31700000000001</v>
      </c>
      <c r="AQ9" s="46">
        <f t="shared" ref="AQ9:AR9" si="15">AP9*1</f>
        <v>297.31700000000001</v>
      </c>
      <c r="AR9" s="46">
        <f t="shared" si="15"/>
        <v>297.31700000000001</v>
      </c>
    </row>
    <row r="10" spans="2:48" ht="15" x14ac:dyDescent="0.25">
      <c r="B10" s="6" t="s">
        <v>22</v>
      </c>
      <c r="C10" s="5">
        <v>15.657</v>
      </c>
      <c r="D10" s="5">
        <v>13.907999999999999</v>
      </c>
      <c r="E10" s="5">
        <v>12.858000000000001</v>
      </c>
      <c r="F10" s="5">
        <v>15.961</v>
      </c>
      <c r="G10" s="5">
        <v>20.001999999999999</v>
      </c>
      <c r="H10" s="5">
        <v>18.989999999999998</v>
      </c>
      <c r="I10" s="5">
        <v>19.599</v>
      </c>
      <c r="J10" s="5">
        <v>27.771999999999998</v>
      </c>
      <c r="K10" s="5">
        <v>29.102</v>
      </c>
      <c r="L10" s="5">
        <v>26.501000000000001</v>
      </c>
      <c r="M10" s="5">
        <v>32.104999999999997</v>
      </c>
      <c r="N10" s="219">
        <v>29.74</v>
      </c>
      <c r="O10" s="183">
        <v>26.754999999999999</v>
      </c>
      <c r="P10" s="183">
        <v>30.327999999999999</v>
      </c>
      <c r="Q10" s="183">
        <v>40.874000000000002</v>
      </c>
      <c r="R10" s="183">
        <v>48.503</v>
      </c>
      <c r="S10" s="23"/>
      <c r="T10" s="71">
        <v>25</v>
      </c>
      <c r="U10" s="159">
        <f>K10*1.05</f>
        <v>30.557100000000002</v>
      </c>
      <c r="V10" s="70">
        <f>U10*1.05</f>
        <v>32.084955000000001</v>
      </c>
      <c r="W10" s="240">
        <v>33.710249999999995</v>
      </c>
      <c r="X10" s="282"/>
      <c r="AA10" s="36">
        <f>SUM(C10:F10)</f>
        <v>58.384</v>
      </c>
      <c r="AB10" s="36">
        <f>SUM(G10:J10)</f>
        <v>86.363</v>
      </c>
      <c r="AC10" s="36">
        <f>SUM(K10:N10)</f>
        <v>117.44799999999999</v>
      </c>
      <c r="AD10" s="225">
        <f>AC10*0.95</f>
        <v>111.57559999999999</v>
      </c>
      <c r="AE10" s="46">
        <f t="shared" ref="AE10:AP10" si="16">AD10*0.95</f>
        <v>105.99681999999999</v>
      </c>
      <c r="AF10" s="46">
        <f t="shared" si="16"/>
        <v>100.69697899999998</v>
      </c>
      <c r="AG10" s="46">
        <f t="shared" si="16"/>
        <v>95.662130049999988</v>
      </c>
      <c r="AH10" s="46">
        <f t="shared" si="16"/>
        <v>90.879023547499983</v>
      </c>
      <c r="AI10" s="46">
        <f t="shared" si="16"/>
        <v>86.335072370124976</v>
      </c>
      <c r="AJ10" s="46">
        <f t="shared" si="16"/>
        <v>82.018318751618722</v>
      </c>
      <c r="AK10" s="46">
        <f t="shared" si="16"/>
        <v>77.917402814037786</v>
      </c>
      <c r="AL10" s="46">
        <f t="shared" si="16"/>
        <v>74.021532673335898</v>
      </c>
      <c r="AM10" s="46">
        <f t="shared" si="16"/>
        <v>70.320456039669097</v>
      </c>
      <c r="AN10" s="46">
        <f t="shared" si="16"/>
        <v>66.804433237685643</v>
      </c>
      <c r="AO10" s="46">
        <f t="shared" si="16"/>
        <v>63.464211575801357</v>
      </c>
      <c r="AP10" s="46">
        <f t="shared" si="16"/>
        <v>60.291000997011288</v>
      </c>
      <c r="AQ10" s="46">
        <f t="shared" ref="AQ10:AR10" si="17">AP10*0.95</f>
        <v>57.276450947160718</v>
      </c>
      <c r="AR10" s="46">
        <f t="shared" si="17"/>
        <v>54.412628399802678</v>
      </c>
    </row>
    <row r="11" spans="2:48" ht="15" x14ac:dyDescent="0.25">
      <c r="B11" s="6" t="s">
        <v>23</v>
      </c>
      <c r="C11" s="5">
        <f t="shared" ref="C11:J11" si="18">C10+C9+C8+C7+C6</f>
        <v>192.74299999999999</v>
      </c>
      <c r="D11" s="5">
        <f t="shared" si="18"/>
        <v>219.76900000000001</v>
      </c>
      <c r="E11" s="5">
        <f t="shared" si="18"/>
        <v>237.614</v>
      </c>
      <c r="F11" s="5">
        <f t="shared" si="18"/>
        <v>299.99799999999999</v>
      </c>
      <c r="G11" s="5">
        <f t="shared" si="18"/>
        <v>424.09500000000003</v>
      </c>
      <c r="H11" s="5">
        <f t="shared" si="18"/>
        <v>480.11599999999999</v>
      </c>
      <c r="I11" s="5">
        <f t="shared" si="18"/>
        <v>456.767</v>
      </c>
      <c r="J11" s="5">
        <f t="shared" si="18"/>
        <v>556.43100000000004</v>
      </c>
      <c r="K11" s="5">
        <f t="shared" ref="K11" si="19">K10+K9+K8+K7+K6</f>
        <v>553.11300000000006</v>
      </c>
      <c r="L11" s="5">
        <f t="shared" ref="L11:N11" si="20">L10+L9+L8+L7+L6</f>
        <v>618.31700000000001</v>
      </c>
      <c r="M11" s="5">
        <f t="shared" ref="M11" si="21">M10+M9+M8+M7+M6</f>
        <v>691.27700000000004</v>
      </c>
      <c r="N11" s="5">
        <f t="shared" si="20"/>
        <v>738.471</v>
      </c>
      <c r="O11" s="5">
        <f t="shared" ref="O11:R11" si="22">O10+O9+O8+O7+O6</f>
        <v>793.34999999999991</v>
      </c>
      <c r="P11" s="5">
        <f t="shared" si="22"/>
        <v>832.726</v>
      </c>
      <c r="Q11" s="5">
        <f t="shared" si="22"/>
        <v>849.68200000000002</v>
      </c>
      <c r="R11" s="5">
        <f t="shared" si="22"/>
        <v>933.46800000000007</v>
      </c>
      <c r="T11" s="67">
        <f>T10+T9+T8+T7+T6</f>
        <v>584.10499000000004</v>
      </c>
      <c r="U11" s="156">
        <f>U10+U9+U8+U7+U6</f>
        <v>591.82918400000005</v>
      </c>
      <c r="V11" s="67">
        <f>V10+V9+V8+V7+V6</f>
        <v>598.59735792800006</v>
      </c>
      <c r="W11" s="237">
        <v>757.74002999999993</v>
      </c>
      <c r="X11" s="278"/>
      <c r="AA11" s="9">
        <f>SUM(AA6:AA10)</f>
        <v>950.12400000000002</v>
      </c>
      <c r="AB11" s="9">
        <f>SUM(AB6:AB10)</f>
        <v>1917.4090000000001</v>
      </c>
      <c r="AC11" s="9">
        <f>SUM(AC6:AC10)</f>
        <v>2601.1779999999999</v>
      </c>
      <c r="AD11" s="114">
        <f t="shared" ref="AD11:AP11" si="23">SUM(AD6:AD10)</f>
        <v>2639.117475</v>
      </c>
      <c r="AE11" s="9">
        <f t="shared" si="23"/>
        <v>2679.2136398749999</v>
      </c>
      <c r="AF11" s="9">
        <f t="shared" si="23"/>
        <v>2721.5400542606249</v>
      </c>
      <c r="AG11" s="9">
        <f t="shared" si="23"/>
        <v>2766.1753501814092</v>
      </c>
      <c r="AH11" s="9">
        <f t="shared" si="23"/>
        <v>2813.2034111598487</v>
      </c>
      <c r="AI11" s="9">
        <f t="shared" si="23"/>
        <v>2862.7135639345765</v>
      </c>
      <c r="AJ11" s="9">
        <f t="shared" si="23"/>
        <v>2914.8007832343496</v>
      </c>
      <c r="AK11" s="9">
        <f t="shared" si="23"/>
        <v>2969.5659100860635</v>
      </c>
      <c r="AL11" s="9">
        <f t="shared" si="23"/>
        <v>3027.1158841675983</v>
      </c>
      <c r="AM11" s="9">
        <f t="shared" si="23"/>
        <v>3087.5639907501595</v>
      </c>
      <c r="AN11" s="9">
        <f t="shared" si="23"/>
        <v>3151.0301228098388</v>
      </c>
      <c r="AO11" s="9">
        <f t="shared" si="23"/>
        <v>3217.6410589245916</v>
      </c>
      <c r="AP11" s="9">
        <f t="shared" si="23"/>
        <v>3287.5307576107416</v>
      </c>
      <c r="AQ11" s="9">
        <f t="shared" ref="AQ11" si="24">SUM(AQ6:AQ10)</f>
        <v>3360.8406687925399</v>
      </c>
      <c r="AR11" s="9">
        <f t="shared" ref="AR11" si="25">SUM(AR6:AR10)</f>
        <v>3437.720063139428</v>
      </c>
    </row>
    <row r="12" spans="2:48" ht="15" x14ac:dyDescent="0.25">
      <c r="B12" s="1" t="s">
        <v>28</v>
      </c>
      <c r="C12" s="4">
        <f t="shared" ref="C12:J12" si="26">C5-C11</f>
        <v>-72.966000000000008</v>
      </c>
      <c r="D12" s="4">
        <f t="shared" si="26"/>
        <v>-73.045999999999992</v>
      </c>
      <c r="E12" s="4">
        <f t="shared" si="26"/>
        <v>-51.518000000000001</v>
      </c>
      <c r="F12" s="4">
        <f t="shared" si="26"/>
        <v>-68.606999999999971</v>
      </c>
      <c r="G12" s="4">
        <f t="shared" si="26"/>
        <v>-135.05600000000004</v>
      </c>
      <c r="H12" s="4">
        <f t="shared" si="26"/>
        <v>-142.94599999999997</v>
      </c>
      <c r="I12" s="4">
        <f t="shared" si="26"/>
        <v>-77.44599999999997</v>
      </c>
      <c r="J12" s="4">
        <f t="shared" si="26"/>
        <v>-139.65000000000003</v>
      </c>
      <c r="K12" s="4">
        <f t="shared" ref="K12" si="27">K5-K11</f>
        <v>-151.61100000000005</v>
      </c>
      <c r="L12" s="4">
        <f t="shared" ref="L12" si="28">L5-L11</f>
        <v>-170.26700000000005</v>
      </c>
      <c r="M12" s="4">
        <f t="shared" ref="M12:N12" si="29">M5-M11</f>
        <v>-300.00700000000006</v>
      </c>
      <c r="N12" s="4">
        <f t="shared" si="29"/>
        <v>-301.899</v>
      </c>
      <c r="O12" s="4">
        <f t="shared" ref="O12:R12" si="30">O5-O11</f>
        <v>-289.84699999999987</v>
      </c>
      <c r="P12" s="4">
        <f t="shared" si="30"/>
        <v>-313.98900000000003</v>
      </c>
      <c r="Q12" s="4">
        <f t="shared" si="30"/>
        <v>-300.03800000000001</v>
      </c>
      <c r="R12" s="4">
        <f t="shared" si="30"/>
        <v>-355.1930000000001</v>
      </c>
      <c r="T12" s="66">
        <f>T5-T11</f>
        <v>-112.34254840000006</v>
      </c>
      <c r="U12" s="155">
        <f>U5-U11</f>
        <v>-178.50736400000005</v>
      </c>
      <c r="V12" s="66">
        <f>V5-V11</f>
        <v>-127.46155792799999</v>
      </c>
      <c r="W12" s="236">
        <v>-285.59124599999996</v>
      </c>
      <c r="X12" s="283"/>
      <c r="AA12" s="4">
        <f>AA5-AA11</f>
        <v>-266.13699999999994</v>
      </c>
      <c r="AB12" s="4">
        <f>AB5-AB11</f>
        <v>-495.09799999999996</v>
      </c>
      <c r="AC12" s="4">
        <f>AC5-AC11</f>
        <v>-923.78400000000011</v>
      </c>
      <c r="AD12" s="109">
        <f t="shared" ref="AD12:AP12" si="31">AD5-AD11</f>
        <v>-411.8404230000001</v>
      </c>
      <c r="AE12" s="4">
        <f t="shared" si="31"/>
        <v>-117.84503007500007</v>
      </c>
      <c r="AF12" s="4">
        <f t="shared" si="31"/>
        <v>224.03384700937477</v>
      </c>
      <c r="AG12" s="4">
        <f t="shared" si="31"/>
        <v>621.23463627909041</v>
      </c>
      <c r="AH12" s="4">
        <f t="shared" si="31"/>
        <v>743.5770746236758</v>
      </c>
      <c r="AI12" s="4">
        <f t="shared" si="31"/>
        <v>1227.5839947164759</v>
      </c>
      <c r="AJ12" s="4">
        <f t="shared" si="31"/>
        <v>1789.0414092143606</v>
      </c>
      <c r="AK12" s="4">
        <f t="shared" si="31"/>
        <v>2439.8526112299528</v>
      </c>
      <c r="AL12" s="4">
        <f t="shared" si="31"/>
        <v>3193.7154153458191</v>
      </c>
      <c r="AM12" s="4">
        <f t="shared" si="31"/>
        <v>4066.3920036902696</v>
      </c>
      <c r="AN12" s="4">
        <f t="shared" si="31"/>
        <v>5076.0192707966535</v>
      </c>
      <c r="AO12" s="4">
        <f t="shared" si="31"/>
        <v>6243.4657437228743</v>
      </c>
      <c r="AP12" s="4">
        <f t="shared" si="31"/>
        <v>7592.742065433843</v>
      </c>
      <c r="AQ12" s="4">
        <f t="shared" ref="AQ12" si="32">AQ5-AQ11</f>
        <v>9151.4730777087316</v>
      </c>
      <c r="AR12" s="4">
        <f t="shared" ref="AR12" si="33">AR5-AR11</f>
        <v>10951.440745337033</v>
      </c>
    </row>
    <row r="13" spans="2:48" ht="15" x14ac:dyDescent="0.25">
      <c r="B13" s="6" t="s">
        <v>25</v>
      </c>
      <c r="C13" s="5">
        <v>1.2470000000000001</v>
      </c>
      <c r="D13" s="5">
        <v>0.29399999999999998</v>
      </c>
      <c r="E13" s="5">
        <v>0.217</v>
      </c>
      <c r="F13" s="5">
        <v>6.4000000000000001E-2</v>
      </c>
      <c r="G13" s="5">
        <v>5.0000000000000001E-3</v>
      </c>
      <c r="H13" s="5">
        <v>2.5999999999999999E-2</v>
      </c>
      <c r="I13" s="5">
        <v>2.8000000000000001E-2</v>
      </c>
      <c r="J13" s="5">
        <v>3.3000000000000002E-2</v>
      </c>
      <c r="K13" s="5">
        <v>0.245</v>
      </c>
      <c r="L13" s="5">
        <f>4.197-9.891</f>
        <v>-5.694</v>
      </c>
      <c r="M13" s="5">
        <v>12.763999999999999</v>
      </c>
      <c r="N13" s="5">
        <f>21.636-10.008</f>
        <v>11.628</v>
      </c>
      <c r="O13" s="183">
        <f>31.082-10.012</f>
        <v>21.07</v>
      </c>
      <c r="P13" s="6">
        <f>34.764-10.129</f>
        <v>24.635000000000005</v>
      </c>
      <c r="Q13" s="6">
        <f>36.442-10.268</f>
        <v>26.173999999999999</v>
      </c>
      <c r="R13" s="6">
        <f>39.53-10.298</f>
        <v>29.231999999999999</v>
      </c>
      <c r="T13" s="67">
        <f>G13</f>
        <v>5.0000000000000001E-3</v>
      </c>
      <c r="U13" s="156">
        <f>H13</f>
        <v>2.5999999999999999E-2</v>
      </c>
      <c r="V13" s="67">
        <f>I13</f>
        <v>2.8000000000000001E-2</v>
      </c>
      <c r="W13" s="237">
        <v>3.3000000000000002E-2</v>
      </c>
      <c r="X13" s="278"/>
      <c r="AA13" s="36">
        <f>SUM(C13:F13)</f>
        <v>1.8220000000000003</v>
      </c>
      <c r="AB13" s="36">
        <f>SUM(G13:J13)</f>
        <v>9.1999999999999998E-2</v>
      </c>
      <c r="AC13" s="36">
        <f>SUM(K13:N13)</f>
        <v>18.942999999999998</v>
      </c>
      <c r="AD13" s="225">
        <f>AC13*1.008</f>
        <v>19.094543999999999</v>
      </c>
      <c r="AE13" s="46">
        <f t="shared" ref="AE13:AP13" si="34">AD13*1.008</f>
        <v>19.247300352</v>
      </c>
      <c r="AF13" s="46">
        <f t="shared" si="34"/>
        <v>19.401278754816001</v>
      </c>
      <c r="AG13" s="46">
        <f t="shared" si="34"/>
        <v>19.556488984854528</v>
      </c>
      <c r="AH13" s="46">
        <f t="shared" si="34"/>
        <v>19.712940896733365</v>
      </c>
      <c r="AI13" s="46">
        <f t="shared" si="34"/>
        <v>19.870644423907233</v>
      </c>
      <c r="AJ13" s="46">
        <f t="shared" si="34"/>
        <v>20.029609579298491</v>
      </c>
      <c r="AK13" s="46">
        <f t="shared" si="34"/>
        <v>20.18984645593288</v>
      </c>
      <c r="AL13" s="46">
        <f t="shared" si="34"/>
        <v>20.351365227580342</v>
      </c>
      <c r="AM13" s="46">
        <f t="shared" si="34"/>
        <v>20.514176149400985</v>
      </c>
      <c r="AN13" s="46">
        <f t="shared" si="34"/>
        <v>20.678289558596195</v>
      </c>
      <c r="AO13" s="46">
        <f t="shared" si="34"/>
        <v>20.843715875064966</v>
      </c>
      <c r="AP13" s="46">
        <f t="shared" si="34"/>
        <v>21.010465602065487</v>
      </c>
      <c r="AQ13" s="46">
        <f t="shared" ref="AQ13:AR13" si="35">AP13*1.008</f>
        <v>21.17854932688201</v>
      </c>
      <c r="AR13" s="46">
        <f t="shared" si="35"/>
        <v>21.347977721497067</v>
      </c>
      <c r="AV13" s="34"/>
    </row>
    <row r="14" spans="2:48" ht="15" x14ac:dyDescent="0.25">
      <c r="B14" s="22" t="s">
        <v>93</v>
      </c>
      <c r="C14" s="37">
        <v>0</v>
      </c>
      <c r="D14" s="37">
        <v>0.49399999999999999</v>
      </c>
      <c r="E14" s="37">
        <v>1.306</v>
      </c>
      <c r="F14" s="37">
        <v>1.325</v>
      </c>
      <c r="G14" s="37">
        <v>0</v>
      </c>
      <c r="H14" s="37">
        <v>0</v>
      </c>
      <c r="I14" s="37">
        <v>0</v>
      </c>
      <c r="J14" s="37">
        <v>1.4E-2</v>
      </c>
      <c r="K14" s="37">
        <v>1.4E-2</v>
      </c>
      <c r="L14" s="37">
        <v>0</v>
      </c>
      <c r="M14" s="37">
        <v>0</v>
      </c>
      <c r="N14" s="45">
        <v>1.988</v>
      </c>
      <c r="O14" s="269">
        <v>0</v>
      </c>
      <c r="P14" s="269">
        <v>3.2770000000000001</v>
      </c>
      <c r="Q14" s="269">
        <v>0</v>
      </c>
      <c r="R14" s="6">
        <v>0.89800000000000002</v>
      </c>
      <c r="T14" s="72">
        <f>G14</f>
        <v>0</v>
      </c>
      <c r="U14" s="160">
        <f>H14</f>
        <v>0</v>
      </c>
      <c r="V14" s="72">
        <f>I14</f>
        <v>0</v>
      </c>
      <c r="W14" s="241">
        <v>1.4E-2</v>
      </c>
      <c r="X14" s="284"/>
      <c r="AA14" s="45">
        <f>U14</f>
        <v>0</v>
      </c>
      <c r="AB14" s="45">
        <f>SUM(G14:J14)</f>
        <v>1.4E-2</v>
      </c>
      <c r="AC14" s="36">
        <f t="shared" ref="AC14:AC18" si="36">SUM(K14:N14)</f>
        <v>2.0019999999999998</v>
      </c>
      <c r="AD14" s="226">
        <f>AC14</f>
        <v>2.0019999999999998</v>
      </c>
      <c r="AE14" s="47">
        <f t="shared" ref="AE14:AP14" si="37">AD14</f>
        <v>2.0019999999999998</v>
      </c>
      <c r="AF14" s="47">
        <f t="shared" si="37"/>
        <v>2.0019999999999998</v>
      </c>
      <c r="AG14" s="47">
        <f t="shared" si="37"/>
        <v>2.0019999999999998</v>
      </c>
      <c r="AH14" s="47">
        <f t="shared" si="37"/>
        <v>2.0019999999999998</v>
      </c>
      <c r="AI14" s="47">
        <f t="shared" si="37"/>
        <v>2.0019999999999998</v>
      </c>
      <c r="AJ14" s="47">
        <f t="shared" si="37"/>
        <v>2.0019999999999998</v>
      </c>
      <c r="AK14" s="47">
        <f t="shared" si="37"/>
        <v>2.0019999999999998</v>
      </c>
      <c r="AL14" s="47">
        <f t="shared" si="37"/>
        <v>2.0019999999999998</v>
      </c>
      <c r="AM14" s="47">
        <f t="shared" si="37"/>
        <v>2.0019999999999998</v>
      </c>
      <c r="AN14" s="47">
        <f t="shared" si="37"/>
        <v>2.0019999999999998</v>
      </c>
      <c r="AO14" s="47">
        <f t="shared" si="37"/>
        <v>2.0019999999999998</v>
      </c>
      <c r="AP14" s="47">
        <f t="shared" si="37"/>
        <v>2.0019999999999998</v>
      </c>
      <c r="AQ14" s="47">
        <f t="shared" ref="AQ14:AR14" si="38">AP14</f>
        <v>2.0019999999999998</v>
      </c>
      <c r="AR14" s="47">
        <f t="shared" si="38"/>
        <v>2.0019999999999998</v>
      </c>
    </row>
    <row r="15" spans="2:48" ht="15" x14ac:dyDescent="0.25">
      <c r="B15" s="22" t="s">
        <v>92</v>
      </c>
      <c r="C15" s="37">
        <v>3.157</v>
      </c>
      <c r="D15" s="37">
        <v>0</v>
      </c>
      <c r="E15" s="37">
        <v>0</v>
      </c>
      <c r="F15" s="37">
        <v>0</v>
      </c>
      <c r="G15" s="37">
        <v>1.05</v>
      </c>
      <c r="H15" s="37">
        <v>0</v>
      </c>
      <c r="I15" s="37">
        <v>0.77</v>
      </c>
      <c r="J15" s="37">
        <v>6.9980000000000002</v>
      </c>
      <c r="K15" s="37">
        <f>9.999+0.379</f>
        <v>10.378</v>
      </c>
      <c r="L15" s="45">
        <v>3.0510000000000002</v>
      </c>
      <c r="M15" s="191">
        <f>4.302+10.005</f>
        <v>14.307</v>
      </c>
      <c r="N15" s="45">
        <v>0</v>
      </c>
      <c r="O15" s="269">
        <v>0.44</v>
      </c>
      <c r="P15" s="45">
        <v>0</v>
      </c>
      <c r="Q15" s="6">
        <v>4.2619999999999996</v>
      </c>
      <c r="R15" s="45">
        <v>0</v>
      </c>
      <c r="T15" s="72">
        <f>G15</f>
        <v>1.05</v>
      </c>
      <c r="U15" s="160">
        <f>H15</f>
        <v>0</v>
      </c>
      <c r="V15" s="72">
        <f>I15</f>
        <v>0.77</v>
      </c>
      <c r="W15" s="241">
        <v>6.9980000000000002</v>
      </c>
      <c r="X15" s="284"/>
      <c r="AA15" s="36">
        <f>SUM(C15:F15)</f>
        <v>3.157</v>
      </c>
      <c r="AB15" s="36">
        <f>SUM(G15:J15)</f>
        <v>8.8179999999999996</v>
      </c>
      <c r="AC15" s="36">
        <f t="shared" si="36"/>
        <v>27.736000000000001</v>
      </c>
      <c r="AD15" s="114">
        <f>AC15</f>
        <v>27.736000000000001</v>
      </c>
      <c r="AE15" s="9">
        <f t="shared" ref="AE15:AP15" si="39">AD15</f>
        <v>27.736000000000001</v>
      </c>
      <c r="AF15" s="9">
        <f t="shared" si="39"/>
        <v>27.736000000000001</v>
      </c>
      <c r="AG15" s="9">
        <f t="shared" si="39"/>
        <v>27.736000000000001</v>
      </c>
      <c r="AH15" s="9">
        <f t="shared" si="39"/>
        <v>27.736000000000001</v>
      </c>
      <c r="AI15" s="9">
        <f t="shared" si="39"/>
        <v>27.736000000000001</v>
      </c>
      <c r="AJ15" s="9">
        <f t="shared" si="39"/>
        <v>27.736000000000001</v>
      </c>
      <c r="AK15" s="9">
        <f t="shared" si="39"/>
        <v>27.736000000000001</v>
      </c>
      <c r="AL15" s="9">
        <f t="shared" si="39"/>
        <v>27.736000000000001</v>
      </c>
      <c r="AM15" s="9">
        <f t="shared" si="39"/>
        <v>27.736000000000001</v>
      </c>
      <c r="AN15" s="9">
        <f t="shared" si="39"/>
        <v>27.736000000000001</v>
      </c>
      <c r="AO15" s="9">
        <f t="shared" si="39"/>
        <v>27.736000000000001</v>
      </c>
      <c r="AP15" s="9">
        <f t="shared" si="39"/>
        <v>27.736000000000001</v>
      </c>
      <c r="AQ15" s="9">
        <f t="shared" ref="AQ15:AR15" si="40">AP15</f>
        <v>27.736000000000001</v>
      </c>
      <c r="AR15" s="9">
        <f t="shared" si="40"/>
        <v>27.736000000000001</v>
      </c>
    </row>
    <row r="16" spans="2:48" ht="15" x14ac:dyDescent="0.25">
      <c r="B16" s="6" t="s">
        <v>26</v>
      </c>
      <c r="C16" s="5">
        <f t="shared" ref="C16:R16" si="41">C12+C13+C14-C15</f>
        <v>-74.876000000000005</v>
      </c>
      <c r="D16" s="5">
        <f t="shared" si="41"/>
        <v>-72.257999999999996</v>
      </c>
      <c r="E16" s="5">
        <f t="shared" si="41"/>
        <v>-49.995000000000005</v>
      </c>
      <c r="F16" s="5">
        <f t="shared" si="41"/>
        <v>-67.217999999999975</v>
      </c>
      <c r="G16" s="5">
        <f t="shared" si="41"/>
        <v>-136.10100000000006</v>
      </c>
      <c r="H16" s="5">
        <f t="shared" si="41"/>
        <v>-142.91999999999996</v>
      </c>
      <c r="I16" s="5">
        <f t="shared" si="41"/>
        <v>-78.18799999999996</v>
      </c>
      <c r="J16" s="5">
        <f t="shared" si="41"/>
        <v>-146.60100000000003</v>
      </c>
      <c r="K16" s="5">
        <f t="shared" ref="K16" si="42">K12+K13+K14-K15</f>
        <v>-161.73000000000002</v>
      </c>
      <c r="L16" s="5">
        <f t="shared" si="41"/>
        <v>-179.01200000000003</v>
      </c>
      <c r="M16" s="5">
        <f t="shared" si="41"/>
        <v>-301.55000000000007</v>
      </c>
      <c r="N16" s="5">
        <f t="shared" si="41"/>
        <v>-288.28300000000002</v>
      </c>
      <c r="O16" s="5">
        <f t="shared" si="41"/>
        <v>-269.21699999999987</v>
      </c>
      <c r="P16" s="5">
        <f t="shared" si="41"/>
        <v>-286.07700000000006</v>
      </c>
      <c r="Q16" s="5">
        <f t="shared" si="41"/>
        <v>-278.12600000000003</v>
      </c>
      <c r="R16" s="5">
        <f t="shared" si="41"/>
        <v>-325.0630000000001</v>
      </c>
      <c r="T16" s="67">
        <f>T12+T13+T14-T15</f>
        <v>-113.38754840000006</v>
      </c>
      <c r="U16" s="156">
        <f>U12+U13+U14-U15</f>
        <v>-178.48136400000004</v>
      </c>
      <c r="V16" s="67">
        <f>V12+V13+V14-V15</f>
        <v>-128.20355792799998</v>
      </c>
      <c r="W16" s="237">
        <v>-292.54224599999992</v>
      </c>
      <c r="X16" s="278"/>
      <c r="AA16" s="5">
        <f>AA12+AA13+AA14-AA15</f>
        <v>-267.47199999999992</v>
      </c>
      <c r="AB16" s="5">
        <f>AB12+AB13+AB14-AB15</f>
        <v>-503.80999999999995</v>
      </c>
      <c r="AC16" s="36">
        <f t="shared" si="36"/>
        <v>-930.57500000000016</v>
      </c>
      <c r="AD16" s="110">
        <f>AD12+AD13+AD14-AD15</f>
        <v>-418.4798790000001</v>
      </c>
      <c r="AE16" s="5">
        <f t="shared" ref="AE16:AP16" si="43">AE12+AE13+AE14-AE15</f>
        <v>-124.33172972300008</v>
      </c>
      <c r="AF16" s="5">
        <f t="shared" si="43"/>
        <v>217.70112576419078</v>
      </c>
      <c r="AG16" s="5">
        <f t="shared" si="43"/>
        <v>615.05712526394495</v>
      </c>
      <c r="AH16" s="5">
        <f t="shared" si="43"/>
        <v>737.55601552040912</v>
      </c>
      <c r="AI16" s="5">
        <f t="shared" si="43"/>
        <v>1221.7206391403829</v>
      </c>
      <c r="AJ16" s="5">
        <f t="shared" si="43"/>
        <v>1783.3370187936589</v>
      </c>
      <c r="AK16" s="5">
        <f t="shared" si="43"/>
        <v>2434.308457685886</v>
      </c>
      <c r="AL16" s="5">
        <f t="shared" si="43"/>
        <v>3188.3327805733993</v>
      </c>
      <c r="AM16" s="5">
        <f t="shared" si="43"/>
        <v>4061.1721798396707</v>
      </c>
      <c r="AN16" s="5">
        <f t="shared" si="43"/>
        <v>5070.9635603552506</v>
      </c>
      <c r="AO16" s="5">
        <f t="shared" si="43"/>
        <v>6238.5754595979397</v>
      </c>
      <c r="AP16" s="5">
        <f t="shared" si="43"/>
        <v>7588.0185310359093</v>
      </c>
      <c r="AQ16" s="5">
        <f t="shared" ref="AQ16" si="44">AQ12+AQ13+AQ14-AQ15</f>
        <v>9146.9176270356129</v>
      </c>
      <c r="AR16" s="5">
        <f t="shared" ref="AR16" si="45">AR12+AR13+AR14-AR15</f>
        <v>10947.054723058531</v>
      </c>
    </row>
    <row r="17" spans="2:83" ht="15" x14ac:dyDescent="0.25">
      <c r="B17" s="22" t="s">
        <v>94</v>
      </c>
      <c r="C17" s="5">
        <v>1E-3</v>
      </c>
      <c r="D17" s="5">
        <v>5.0000000000000001E-3</v>
      </c>
      <c r="E17" s="5">
        <v>1.9E-2</v>
      </c>
      <c r="F17" s="5">
        <v>-6.681</v>
      </c>
      <c r="G17" s="5">
        <v>2E-3</v>
      </c>
      <c r="H17" s="5">
        <v>0.02</v>
      </c>
      <c r="I17" s="5">
        <v>-0.998</v>
      </c>
      <c r="J17" s="5">
        <v>0.65600000000000003</v>
      </c>
      <c r="K17" s="5">
        <v>0.27600000000000002</v>
      </c>
      <c r="L17" s="5">
        <v>0.27800000000000002</v>
      </c>
      <c r="M17" s="5">
        <v>0.35199999999999998</v>
      </c>
      <c r="N17" s="5">
        <v>3.202</v>
      </c>
      <c r="O17" s="183">
        <v>0.73099999999999998</v>
      </c>
      <c r="P17" s="6">
        <v>-1.236</v>
      </c>
      <c r="Q17" s="6">
        <v>0.68200000000000005</v>
      </c>
      <c r="R17" s="6">
        <v>0.27700000000000002</v>
      </c>
      <c r="T17" s="67">
        <f>J17*1.005</f>
        <v>0.65927999999999998</v>
      </c>
      <c r="U17" s="156">
        <f>K17*1.005</f>
        <v>0.27738000000000002</v>
      </c>
      <c r="V17" s="67">
        <f>U17*1.005</f>
        <v>0.27876689999999998</v>
      </c>
      <c r="W17" s="237">
        <v>0.35375999999999996</v>
      </c>
      <c r="X17" s="278"/>
      <c r="AA17" s="36">
        <f>SUM(C17:F17)</f>
        <v>-6.6559999999999997</v>
      </c>
      <c r="AB17" s="36">
        <f>SUM(G17:J17)</f>
        <v>-0.31999999999999995</v>
      </c>
      <c r="AC17" s="36">
        <f t="shared" si="36"/>
        <v>4.1079999999999997</v>
      </c>
      <c r="AD17" s="114">
        <f>AC17</f>
        <v>4.1079999999999997</v>
      </c>
      <c r="AE17" s="9">
        <f t="shared" ref="AE17:AP17" si="46">AD17</f>
        <v>4.1079999999999997</v>
      </c>
      <c r="AF17" s="9">
        <f t="shared" si="46"/>
        <v>4.1079999999999997</v>
      </c>
      <c r="AG17" s="9">
        <f t="shared" si="46"/>
        <v>4.1079999999999997</v>
      </c>
      <c r="AH17" s="9">
        <f t="shared" si="46"/>
        <v>4.1079999999999997</v>
      </c>
      <c r="AI17" s="9">
        <f t="shared" si="46"/>
        <v>4.1079999999999997</v>
      </c>
      <c r="AJ17" s="9">
        <f t="shared" si="46"/>
        <v>4.1079999999999997</v>
      </c>
      <c r="AK17" s="9">
        <f t="shared" si="46"/>
        <v>4.1079999999999997</v>
      </c>
      <c r="AL17" s="9">
        <f t="shared" si="46"/>
        <v>4.1079999999999997</v>
      </c>
      <c r="AM17" s="9">
        <f t="shared" si="46"/>
        <v>4.1079999999999997</v>
      </c>
      <c r="AN17" s="9">
        <f t="shared" si="46"/>
        <v>4.1079999999999997</v>
      </c>
      <c r="AO17" s="9">
        <f t="shared" si="46"/>
        <v>4.1079999999999997</v>
      </c>
      <c r="AP17" s="9">
        <f t="shared" si="46"/>
        <v>4.1079999999999997</v>
      </c>
      <c r="AQ17" s="9">
        <f t="shared" ref="AQ17:AR17" si="47">AP17</f>
        <v>4.1079999999999997</v>
      </c>
      <c r="AR17" s="9">
        <f t="shared" si="47"/>
        <v>4.1079999999999997</v>
      </c>
    </row>
    <row r="18" spans="2:83" ht="15" x14ac:dyDescent="0.25">
      <c r="B18" s="1" t="s">
        <v>27</v>
      </c>
      <c r="C18" s="4">
        <f t="shared" ref="C18:J18" si="48">+C16-C17</f>
        <v>-74.87700000000001</v>
      </c>
      <c r="D18" s="4">
        <f t="shared" si="48"/>
        <v>-72.262999999999991</v>
      </c>
      <c r="E18" s="4">
        <f t="shared" si="48"/>
        <v>-50.014000000000003</v>
      </c>
      <c r="F18" s="4">
        <f t="shared" si="48"/>
        <v>-60.536999999999978</v>
      </c>
      <c r="G18" s="4">
        <f t="shared" si="48"/>
        <v>-136.10300000000007</v>
      </c>
      <c r="H18" s="4">
        <f t="shared" si="48"/>
        <v>-142.93999999999997</v>
      </c>
      <c r="I18" s="4">
        <f t="shared" si="48"/>
        <v>-77.189999999999955</v>
      </c>
      <c r="J18" s="4">
        <f t="shared" si="48"/>
        <v>-147.25700000000003</v>
      </c>
      <c r="K18" s="4">
        <f t="shared" ref="K18:R18" si="49">+K16-K17</f>
        <v>-162.00600000000003</v>
      </c>
      <c r="L18" s="4">
        <f t="shared" si="49"/>
        <v>-179.29000000000002</v>
      </c>
      <c r="M18" s="4">
        <f t="shared" si="49"/>
        <v>-301.90200000000004</v>
      </c>
      <c r="N18" s="4">
        <f t="shared" si="49"/>
        <v>-291.48500000000001</v>
      </c>
      <c r="O18" s="4">
        <f t="shared" si="49"/>
        <v>-269.94799999999987</v>
      </c>
      <c r="P18" s="4">
        <f t="shared" si="49"/>
        <v>-284.84100000000007</v>
      </c>
      <c r="Q18" s="4">
        <f t="shared" si="49"/>
        <v>-278.80800000000005</v>
      </c>
      <c r="R18" s="4">
        <f t="shared" si="49"/>
        <v>-325.34000000000009</v>
      </c>
      <c r="T18" s="66">
        <f>+T16-T17</f>
        <v>-114.04682840000005</v>
      </c>
      <c r="U18" s="155">
        <f>+U16-U17</f>
        <v>-178.75874400000004</v>
      </c>
      <c r="V18" s="66">
        <f>+V16-V17</f>
        <v>-128.48232482799997</v>
      </c>
      <c r="W18" s="236">
        <v>-292.89600599999994</v>
      </c>
      <c r="X18" s="283"/>
      <c r="AA18" s="3">
        <f>AA16-AA17</f>
        <v>-260.81599999999992</v>
      </c>
      <c r="AB18" s="3">
        <f>AB16-AB17</f>
        <v>-503.48999999999995</v>
      </c>
      <c r="AC18" s="3">
        <f t="shared" si="36"/>
        <v>-934.68300000000011</v>
      </c>
      <c r="AD18" s="113">
        <f>AD16-AD17</f>
        <v>-422.5878790000001</v>
      </c>
      <c r="AE18" s="3">
        <f t="shared" ref="AE18:AP18" si="50">AE16-AE17</f>
        <v>-128.43972972300008</v>
      </c>
      <c r="AF18" s="3">
        <f t="shared" si="50"/>
        <v>213.59312576419077</v>
      </c>
      <c r="AG18" s="217">
        <f t="shared" si="50"/>
        <v>610.94912526394501</v>
      </c>
      <c r="AH18" s="3">
        <f t="shared" si="50"/>
        <v>733.44801552040917</v>
      </c>
      <c r="AI18" s="3">
        <f t="shared" si="50"/>
        <v>1217.612639140383</v>
      </c>
      <c r="AJ18" s="3">
        <f t="shared" si="50"/>
        <v>1779.229018793659</v>
      </c>
      <c r="AK18" s="3">
        <f t="shared" si="50"/>
        <v>2430.2004576858858</v>
      </c>
      <c r="AL18" s="3">
        <f t="shared" si="50"/>
        <v>3184.2247805733991</v>
      </c>
      <c r="AM18" s="3">
        <f t="shared" si="50"/>
        <v>4057.0641798396705</v>
      </c>
      <c r="AN18" s="3">
        <f t="shared" si="50"/>
        <v>5066.8555603552504</v>
      </c>
      <c r="AO18" s="3">
        <f t="shared" si="50"/>
        <v>6234.4674595979395</v>
      </c>
      <c r="AP18" s="3">
        <f t="shared" si="50"/>
        <v>7583.9105310359091</v>
      </c>
      <c r="AQ18" s="3">
        <f t="shared" ref="AQ18" si="51">AQ16-AQ17</f>
        <v>9142.8096270356127</v>
      </c>
      <c r="AR18" s="3">
        <f t="shared" ref="AR18" si="52">AR16-AR17</f>
        <v>10942.946723058531</v>
      </c>
      <c r="AS18" s="3">
        <f>AR18*(1+$AU$21)</f>
        <v>10833.517255827945</v>
      </c>
      <c r="AT18" s="3">
        <f t="shared" ref="AT18:CE18" si="53">AS18*(1+$AU$21)</f>
        <v>10725.182083269665</v>
      </c>
      <c r="AU18" s="3">
        <f t="shared" si="53"/>
        <v>10617.930262436968</v>
      </c>
      <c r="AV18" s="3">
        <f t="shared" si="53"/>
        <v>10511.750959812598</v>
      </c>
      <c r="AW18" s="3">
        <f t="shared" si="53"/>
        <v>10406.633450214473</v>
      </c>
      <c r="AX18" s="3">
        <f t="shared" si="53"/>
        <v>10302.567115712329</v>
      </c>
      <c r="AY18" s="3">
        <f t="shared" si="53"/>
        <v>10199.541444555205</v>
      </c>
      <c r="AZ18" s="3">
        <f t="shared" si="53"/>
        <v>10097.546030109654</v>
      </c>
      <c r="BA18" s="3">
        <f t="shared" si="53"/>
        <v>9996.5705698085567</v>
      </c>
      <c r="BB18" s="3">
        <f t="shared" si="53"/>
        <v>9896.6048641104717</v>
      </c>
      <c r="BC18" s="3">
        <f t="shared" si="53"/>
        <v>9797.6388154693668</v>
      </c>
      <c r="BD18" s="3">
        <f t="shared" si="53"/>
        <v>9699.6624273146736</v>
      </c>
      <c r="BE18" s="3">
        <f t="shared" si="53"/>
        <v>9602.6658030415274</v>
      </c>
      <c r="BF18" s="3">
        <f t="shared" si="53"/>
        <v>9506.6391450111114</v>
      </c>
      <c r="BG18" s="3">
        <f t="shared" si="53"/>
        <v>9411.5727535610004</v>
      </c>
      <c r="BH18" s="3">
        <f t="shared" si="53"/>
        <v>9317.4570260253895</v>
      </c>
      <c r="BI18" s="3">
        <f t="shared" si="53"/>
        <v>9224.2824557651347</v>
      </c>
      <c r="BJ18" s="3">
        <f t="shared" si="53"/>
        <v>9132.0396312074827</v>
      </c>
      <c r="BK18" s="3">
        <f t="shared" si="53"/>
        <v>9040.7192348954086</v>
      </c>
      <c r="BL18" s="3">
        <f t="shared" si="53"/>
        <v>8950.3120425464549</v>
      </c>
      <c r="BM18" s="3">
        <f t="shared" si="53"/>
        <v>8860.8089221209902</v>
      </c>
      <c r="BN18" s="3">
        <f t="shared" si="53"/>
        <v>8772.2008328997799</v>
      </c>
      <c r="BO18" s="3">
        <f t="shared" si="53"/>
        <v>8684.4788245707823</v>
      </c>
      <c r="BP18" s="3">
        <f t="shared" si="53"/>
        <v>8597.6340363250747</v>
      </c>
      <c r="BQ18" s="3">
        <f t="shared" si="53"/>
        <v>8511.6576959618233</v>
      </c>
      <c r="BR18" s="3">
        <f t="shared" si="53"/>
        <v>8426.5411190022041</v>
      </c>
      <c r="BS18" s="3">
        <f t="shared" si="53"/>
        <v>8342.2757078121813</v>
      </c>
      <c r="BT18" s="3">
        <f t="shared" si="53"/>
        <v>8258.852950734059</v>
      </c>
      <c r="BU18" s="3">
        <f t="shared" si="53"/>
        <v>8176.2644212267187</v>
      </c>
      <c r="BV18" s="3">
        <f t="shared" si="53"/>
        <v>8094.5017770144514</v>
      </c>
      <c r="BW18" s="3">
        <f t="shared" si="53"/>
        <v>8013.5567592443067</v>
      </c>
      <c r="BX18" s="3">
        <f t="shared" si="53"/>
        <v>7933.4211916518634</v>
      </c>
      <c r="BY18" s="3">
        <f t="shared" si="53"/>
        <v>7854.0869797353444</v>
      </c>
      <c r="BZ18" s="3">
        <f t="shared" si="53"/>
        <v>7775.5461099379909</v>
      </c>
      <c r="CA18" s="3">
        <f t="shared" si="53"/>
        <v>7697.7906488386107</v>
      </c>
      <c r="CB18" s="3">
        <f t="shared" si="53"/>
        <v>7620.8127423502247</v>
      </c>
      <c r="CC18" s="3">
        <f t="shared" si="53"/>
        <v>7544.6046149267222</v>
      </c>
      <c r="CD18" s="3">
        <f t="shared" si="53"/>
        <v>7469.158568777455</v>
      </c>
      <c r="CE18" s="3">
        <f t="shared" si="53"/>
        <v>7394.4669830896801</v>
      </c>
    </row>
    <row r="19" spans="2:83" ht="15" x14ac:dyDescent="0.25">
      <c r="B19" s="6" t="s">
        <v>31</v>
      </c>
      <c r="C19" s="8">
        <f t="shared" ref="C19:R19" si="54">C18/C20</f>
        <v>-0.44164277878047925</v>
      </c>
      <c r="D19" s="8">
        <f t="shared" si="54"/>
        <v>-0.4007131132996184</v>
      </c>
      <c r="E19" s="8">
        <f t="shared" si="54"/>
        <v>-0.27262420007195265</v>
      </c>
      <c r="F19" s="8">
        <f t="shared" si="54"/>
        <v>-0.31020912226042652</v>
      </c>
      <c r="G19" s="8">
        <f t="shared" si="54"/>
        <v>-0.46758899798676645</v>
      </c>
      <c r="H19" s="8">
        <f t="shared" si="54"/>
        <v>-0.25020129529144053</v>
      </c>
      <c r="I19" s="8">
        <f t="shared" si="54"/>
        <v>-0.13402623920879539</v>
      </c>
      <c r="J19" s="8">
        <f t="shared" ref="J19:K19" si="55">J18/J20</f>
        <v>-0.25322121626385352</v>
      </c>
      <c r="K19" s="8">
        <f t="shared" si="55"/>
        <v>-0.27527649820482197</v>
      </c>
      <c r="L19" s="8">
        <f t="shared" si="54"/>
        <v>-0.30187160733287538</v>
      </c>
      <c r="M19" s="8">
        <f t="shared" si="54"/>
        <v>-0.50503948783747843</v>
      </c>
      <c r="N19" s="8">
        <f t="shared" si="54"/>
        <v>-0.4843077863752141</v>
      </c>
      <c r="O19" s="8">
        <f t="shared" si="54"/>
        <v>-0.44499099131770714</v>
      </c>
      <c r="P19" s="8">
        <f t="shared" si="54"/>
        <v>-0.46490307480630477</v>
      </c>
      <c r="Q19" s="8">
        <f t="shared" si="54"/>
        <v>-0.45016226689271016</v>
      </c>
      <c r="R19" s="8">
        <f t="shared" si="54"/>
        <v>-0.51903506126987631</v>
      </c>
      <c r="T19" s="73">
        <f>T18/T20</f>
        <v>-0.1961134384000964</v>
      </c>
      <c r="U19" s="161">
        <f>U18/U20</f>
        <v>-0.30739120431272415</v>
      </c>
      <c r="V19" s="73">
        <f>V18/V20</f>
        <v>-0.21632643153378855</v>
      </c>
      <c r="W19" s="242">
        <v>-0.48997372942174272</v>
      </c>
      <c r="X19" s="285"/>
      <c r="AA19" s="8">
        <f>AA18/AA20</f>
        <v>-1.4321087303581006</v>
      </c>
      <c r="AB19" s="8">
        <f>AB18/AB20</f>
        <v>-0.99708838467978411</v>
      </c>
      <c r="AC19" s="8">
        <f>AC18/AC20</f>
        <v>-1.5529933090640833</v>
      </c>
      <c r="AD19" s="115">
        <f>AD18/AD20</f>
        <v>-0.69660749179492865</v>
      </c>
      <c r="AE19" s="34">
        <f t="shared" ref="AE19:AR19" si="56">AE18/AE20</f>
        <v>-0.21172419374848567</v>
      </c>
      <c r="AF19" s="34">
        <f t="shared" si="56"/>
        <v>0.3520937987036577</v>
      </c>
      <c r="AG19" s="34">
        <f t="shared" si="56"/>
        <v>1.0071082463877823</v>
      </c>
      <c r="AH19" s="34">
        <f t="shared" si="56"/>
        <v>1.2090393687170569</v>
      </c>
      <c r="AI19" s="34">
        <f t="shared" si="56"/>
        <v>2.0071519527170008</v>
      </c>
      <c r="AJ19" s="34">
        <f t="shared" si="56"/>
        <v>2.9329385098397545</v>
      </c>
      <c r="AK19" s="34">
        <f t="shared" si="56"/>
        <v>4.0060208290722228</v>
      </c>
      <c r="AL19" s="34">
        <f t="shared" si="56"/>
        <v>5.2489788466140368</v>
      </c>
      <c r="AM19" s="34">
        <f t="shared" si="56"/>
        <v>6.6877954688548025</v>
      </c>
      <c r="AN19" s="34">
        <f t="shared" si="56"/>
        <v>8.352368154852492</v>
      </c>
      <c r="AO19" s="34">
        <f t="shared" si="56"/>
        <v>10.277097274973238</v>
      </c>
      <c r="AP19" s="34">
        <f t="shared" si="56"/>
        <v>12.501562764941653</v>
      </c>
      <c r="AQ19" s="34">
        <f t="shared" si="56"/>
        <v>15.071302322534915</v>
      </c>
      <c r="AR19" s="34">
        <f t="shared" si="56"/>
        <v>18.0387063813426</v>
      </c>
    </row>
    <row r="20" spans="2:83" ht="15" x14ac:dyDescent="0.25">
      <c r="B20" s="6" t="s">
        <v>1</v>
      </c>
      <c r="C20" s="5">
        <v>169.542</v>
      </c>
      <c r="D20" s="5">
        <v>180.33600000000001</v>
      </c>
      <c r="E20" s="5">
        <v>183.45400000000001</v>
      </c>
      <c r="F20" s="5">
        <v>195.149</v>
      </c>
      <c r="G20" s="5">
        <v>291.07400000000001</v>
      </c>
      <c r="H20" s="5">
        <v>571.29999999999995</v>
      </c>
      <c r="I20" s="5">
        <v>575.93200000000002</v>
      </c>
      <c r="J20" s="5">
        <v>581.53499999999997</v>
      </c>
      <c r="K20" s="5">
        <v>588.52099999999996</v>
      </c>
      <c r="L20" s="5">
        <v>593.928</v>
      </c>
      <c r="M20" s="5">
        <v>597.779</v>
      </c>
      <c r="N20" s="5">
        <v>601.85900000000004</v>
      </c>
      <c r="O20" s="183">
        <v>606.63699999999994</v>
      </c>
      <c r="P20" s="183">
        <v>612.68899999999996</v>
      </c>
      <c r="Q20" s="9">
        <v>619.35</v>
      </c>
      <c r="R20" s="9">
        <v>626.81700000000001</v>
      </c>
      <c r="T20" s="67">
        <v>581.53499999999997</v>
      </c>
      <c r="U20" s="156">
        <v>581.53499999999997</v>
      </c>
      <c r="V20" s="67">
        <f>L20</f>
        <v>593.928</v>
      </c>
      <c r="W20" s="237">
        <v>597.779</v>
      </c>
      <c r="X20" s="278"/>
      <c r="AA20" s="9">
        <f>AVERAGE(C20:F20)</f>
        <v>182.12025000000003</v>
      </c>
      <c r="AB20" s="9">
        <f>AVERAGE(G20:J20)</f>
        <v>504.96024999999997</v>
      </c>
      <c r="AC20" s="36">
        <f>N20</f>
        <v>601.85900000000004</v>
      </c>
      <c r="AD20" s="115">
        <f>O20</f>
        <v>606.63699999999994</v>
      </c>
      <c r="AE20" s="34">
        <f t="shared" ref="AE20:AP20" si="57">AD20</f>
        <v>606.63699999999994</v>
      </c>
      <c r="AF20" s="34">
        <f t="shared" si="57"/>
        <v>606.63699999999994</v>
      </c>
      <c r="AG20" s="34">
        <f t="shared" si="57"/>
        <v>606.63699999999994</v>
      </c>
      <c r="AH20" s="34">
        <f t="shared" si="57"/>
        <v>606.63699999999994</v>
      </c>
      <c r="AI20" s="34">
        <f t="shared" si="57"/>
        <v>606.63699999999994</v>
      </c>
      <c r="AJ20" s="34">
        <f t="shared" si="57"/>
        <v>606.63699999999994</v>
      </c>
      <c r="AK20" s="34">
        <f t="shared" si="57"/>
        <v>606.63699999999994</v>
      </c>
      <c r="AL20" s="34">
        <f t="shared" si="57"/>
        <v>606.63699999999994</v>
      </c>
      <c r="AM20" s="34">
        <f t="shared" si="57"/>
        <v>606.63699999999994</v>
      </c>
      <c r="AN20" s="34">
        <f t="shared" si="57"/>
        <v>606.63699999999994</v>
      </c>
      <c r="AO20" s="34">
        <f t="shared" si="57"/>
        <v>606.63699999999994</v>
      </c>
      <c r="AP20" s="34">
        <f t="shared" si="57"/>
        <v>606.63699999999994</v>
      </c>
      <c r="AQ20" s="34">
        <f t="shared" ref="AQ20:AR20" si="58">AP20</f>
        <v>606.63699999999994</v>
      </c>
      <c r="AR20" s="34">
        <f t="shared" si="58"/>
        <v>606.63699999999994</v>
      </c>
    </row>
    <row r="21" spans="2:83" ht="15" x14ac:dyDescent="0.25">
      <c r="B21" s="1"/>
      <c r="C21" s="7"/>
      <c r="D21" s="7"/>
      <c r="E21" s="7"/>
      <c r="O21" s="55"/>
      <c r="T21" s="71"/>
      <c r="U21" s="162"/>
      <c r="V21" s="71"/>
      <c r="W21" s="243"/>
      <c r="X21" s="282"/>
      <c r="AT21" s="127" t="s">
        <v>118</v>
      </c>
      <c r="AU21" s="121">
        <v>-0.01</v>
      </c>
    </row>
    <row r="22" spans="2:83" ht="15" x14ac:dyDescent="0.25">
      <c r="B22" s="6" t="s">
        <v>16</v>
      </c>
      <c r="C22" s="10">
        <f t="shared" ref="C22:K22" si="59">C5/C3</f>
        <v>0.74133193043262979</v>
      </c>
      <c r="D22" s="10">
        <f t="shared" si="59"/>
        <v>0.732179927342409</v>
      </c>
      <c r="E22" s="10">
        <f t="shared" si="59"/>
        <v>0.73872829616456415</v>
      </c>
      <c r="F22" s="10">
        <f t="shared" si="59"/>
        <v>0.74640091094129524</v>
      </c>
      <c r="G22" s="10">
        <f t="shared" si="59"/>
        <v>0.74691712147523359</v>
      </c>
      <c r="H22" s="10">
        <f t="shared" si="59"/>
        <v>0.74250165161858617</v>
      </c>
      <c r="I22" s="10">
        <f t="shared" si="59"/>
        <v>0.74473628410322468</v>
      </c>
      <c r="J22" s="10">
        <f t="shared" si="59"/>
        <v>0.73277727864915287</v>
      </c>
      <c r="K22" s="10">
        <f t="shared" si="59"/>
        <v>0.74748945328353822</v>
      </c>
      <c r="L22" s="10">
        <f t="shared" ref="L22:M22" si="60">L5/L3</f>
        <v>0.75785638532696664</v>
      </c>
      <c r="M22" s="10">
        <f t="shared" si="60"/>
        <v>0.75577498469211346</v>
      </c>
      <c r="N22" s="220">
        <f t="shared" ref="N22:O22" si="61">N5/N3</f>
        <v>0.75400515367769483</v>
      </c>
      <c r="O22" s="220">
        <f t="shared" si="61"/>
        <v>0.76830336433994972</v>
      </c>
      <c r="P22" s="220">
        <f t="shared" ref="P22:Q22" si="62">P5/P3</f>
        <v>0.76199016989685153</v>
      </c>
      <c r="Q22" s="220">
        <f t="shared" si="62"/>
        <v>0.77064600932384586</v>
      </c>
      <c r="R22" s="220">
        <f t="shared" ref="R22" si="63">R5/R3</f>
        <v>0.77109604914533048</v>
      </c>
      <c r="T22" s="74">
        <f>T5/T3</f>
        <v>0.73</v>
      </c>
      <c r="U22" s="163">
        <f>U5/U3</f>
        <v>0.74</v>
      </c>
      <c r="V22" s="74">
        <f t="shared" ref="V22" si="64">V5/V3</f>
        <v>0.74</v>
      </c>
      <c r="W22" s="244">
        <v>0.76</v>
      </c>
      <c r="X22" s="246">
        <v>0.75</v>
      </c>
      <c r="AA22" s="10">
        <f>AA5/AA3</f>
        <v>0.74033781260654741</v>
      </c>
      <c r="AB22" s="10">
        <f>AB5/AB3</f>
        <v>0.74110310596030293</v>
      </c>
      <c r="AC22" s="220">
        <f t="shared" ref="AC22:AP22" si="65">AC5/AC3</f>
        <v>0.75386732534790202</v>
      </c>
      <c r="AD22" s="111">
        <f t="shared" si="65"/>
        <v>0.77</v>
      </c>
      <c r="AE22" s="10">
        <f t="shared" si="65"/>
        <v>0.77</v>
      </c>
      <c r="AF22" s="10">
        <f t="shared" si="65"/>
        <v>0.77</v>
      </c>
      <c r="AG22" s="10">
        <f t="shared" si="65"/>
        <v>0.77</v>
      </c>
      <c r="AH22" s="10">
        <f t="shared" si="65"/>
        <v>0.77</v>
      </c>
      <c r="AI22" s="10">
        <f t="shared" si="65"/>
        <v>0.77</v>
      </c>
      <c r="AJ22" s="10">
        <f t="shared" si="65"/>
        <v>0.77</v>
      </c>
      <c r="AK22" s="10">
        <f t="shared" si="65"/>
        <v>0.77000000000000013</v>
      </c>
      <c r="AL22" s="10">
        <f t="shared" si="65"/>
        <v>0.77</v>
      </c>
      <c r="AM22" s="10">
        <f t="shared" si="65"/>
        <v>0.77</v>
      </c>
      <c r="AN22" s="10">
        <f t="shared" si="65"/>
        <v>0.76999999999999991</v>
      </c>
      <c r="AO22" s="10">
        <f t="shared" si="65"/>
        <v>0.77</v>
      </c>
      <c r="AP22" s="10">
        <f t="shared" si="65"/>
        <v>0.77</v>
      </c>
      <c r="AQ22" s="10">
        <f t="shared" ref="AQ22:AR22" si="66">AQ5/AQ3</f>
        <v>0.77</v>
      </c>
      <c r="AR22" s="10">
        <f t="shared" si="66"/>
        <v>0.77</v>
      </c>
      <c r="AT22" s="128" t="s">
        <v>114</v>
      </c>
      <c r="AU22" s="122">
        <v>0.09</v>
      </c>
      <c r="AW22" s="62"/>
    </row>
    <row r="23" spans="2:83" ht="15" x14ac:dyDescent="0.25">
      <c r="B23" s="6" t="s">
        <v>24</v>
      </c>
      <c r="C23" s="10">
        <f t="shared" ref="C23:J23" si="67">C12/C3</f>
        <v>-0.45160611499659598</v>
      </c>
      <c r="D23" s="10">
        <f t="shared" si="67"/>
        <v>-0.36451554952293502</v>
      </c>
      <c r="E23" s="10">
        <f t="shared" si="67"/>
        <v>-0.20450629976896878</v>
      </c>
      <c r="F23" s="10">
        <f t="shared" si="67"/>
        <v>-0.22130647819901991</v>
      </c>
      <c r="G23" s="10">
        <f t="shared" si="67"/>
        <v>-0.3490035557760689</v>
      </c>
      <c r="H23" s="10">
        <f t="shared" si="67"/>
        <v>-0.31478969390002193</v>
      </c>
      <c r="I23" s="10">
        <f t="shared" si="67"/>
        <v>-0.15205286883314742</v>
      </c>
      <c r="J23" s="10">
        <f t="shared" si="67"/>
        <v>-0.24553025920892319</v>
      </c>
      <c r="K23" s="10">
        <f t="shared" ref="K23:L23" si="68">K12/K3</f>
        <v>-0.28225917555023522</v>
      </c>
      <c r="L23" s="10">
        <f t="shared" si="68"/>
        <v>-0.2879989580637578</v>
      </c>
      <c r="M23" s="10">
        <f t="shared" ref="M23:N23" si="69">M12/M3</f>
        <v>-0.5794918747476856</v>
      </c>
      <c r="N23" s="220">
        <f t="shared" si="69"/>
        <v>-0.52141090562414072</v>
      </c>
      <c r="O23" s="220">
        <f t="shared" ref="O23:P23" si="70">O12/O3</f>
        <v>-0.44228222124563565</v>
      </c>
      <c r="P23" s="220">
        <f t="shared" si="70"/>
        <v>-0.46122896854425754</v>
      </c>
      <c r="Q23" s="220">
        <f t="shared" ref="Q23:R23" si="71">Q12/Q3</f>
        <v>-0.42067790669143679</v>
      </c>
      <c r="R23" s="220">
        <f t="shared" si="71"/>
        <v>-0.4736291885073321</v>
      </c>
      <c r="T23" s="74">
        <f>T12/T3</f>
        <v>-0.17383762059111754</v>
      </c>
      <c r="U23" s="163">
        <f>U12/U3</f>
        <v>-0.31959466683854248</v>
      </c>
      <c r="V23" s="74">
        <f t="shared" ref="V23" si="72">V12/V3</f>
        <v>-0.20020035171753023</v>
      </c>
      <c r="W23" s="244">
        <v>-0.45970540286300937</v>
      </c>
      <c r="X23" s="246"/>
      <c r="AA23" s="10">
        <f>AA12/AA3</f>
        <v>-0.28806290826239189</v>
      </c>
      <c r="AB23" s="10">
        <f>AB12/AB3</f>
        <v>-0.25797358352338834</v>
      </c>
      <c r="AC23" s="220">
        <f t="shared" ref="AC23:AP23" si="73">AC12/AC3</f>
        <v>-0.41517411727905695</v>
      </c>
      <c r="AD23" s="111">
        <f t="shared" si="73"/>
        <v>-0.14237884120668437</v>
      </c>
      <c r="AE23" s="10">
        <f t="shared" si="73"/>
        <v>-3.542663590494903E-2</v>
      </c>
      <c r="AF23" s="10">
        <f t="shared" si="73"/>
        <v>5.8564499815415151E-2</v>
      </c>
      <c r="AG23" s="10">
        <f t="shared" si="73"/>
        <v>0.14121428225306959</v>
      </c>
      <c r="AH23" s="10">
        <f t="shared" si="73"/>
        <v>0.16097545230826979</v>
      </c>
      <c r="AI23" s="10">
        <f t="shared" si="73"/>
        <v>0.23109313256012087</v>
      </c>
      <c r="AJ23" s="10">
        <f t="shared" si="73"/>
        <v>0.29285886488847773</v>
      </c>
      <c r="AK23" s="10">
        <f t="shared" si="73"/>
        <v>0.34729916038924136</v>
      </c>
      <c r="AL23" s="10">
        <f t="shared" si="73"/>
        <v>0.39531065084639605</v>
      </c>
      <c r="AM23" s="10">
        <f t="shared" si="73"/>
        <v>0.4376769783424449</v>
      </c>
      <c r="AN23" s="10">
        <f t="shared" si="73"/>
        <v>0.47508342924875019</v>
      </c>
      <c r="AO23" s="10">
        <f t="shared" si="73"/>
        <v>0.50812962192978917</v>
      </c>
      <c r="AP23" s="10">
        <f t="shared" si="73"/>
        <v>0.53734051392546611</v>
      </c>
      <c r="AQ23" s="10">
        <f t="shared" ref="AQ23:AR23" si="74">AQ12/AQ3</f>
        <v>0.56317595710914159</v>
      </c>
      <c r="AR23" s="10">
        <f t="shared" si="74"/>
        <v>0.5860389974196395</v>
      </c>
      <c r="AT23" s="128" t="s">
        <v>115</v>
      </c>
      <c r="AU23" s="123">
        <f>NPV(AU22,AC18:CE18)</f>
        <v>43285.78270966134</v>
      </c>
      <c r="AW23" s="63"/>
    </row>
    <row r="24" spans="2:83" ht="15" x14ac:dyDescent="0.25">
      <c r="B24" s="6" t="s">
        <v>29</v>
      </c>
      <c r="C24" s="10">
        <f t="shared" ref="C24:J24" si="75">C18/C3</f>
        <v>-0.4634338057807762</v>
      </c>
      <c r="D24" s="10">
        <f t="shared" si="75"/>
        <v>-0.36060820791249149</v>
      </c>
      <c r="E24" s="10">
        <f t="shared" si="75"/>
        <v>-0.1985360083202998</v>
      </c>
      <c r="F24" s="10">
        <f t="shared" si="75"/>
        <v>-0.19527497588779671</v>
      </c>
      <c r="G24" s="10">
        <f t="shared" si="75"/>
        <v>-0.35170914992144231</v>
      </c>
      <c r="H24" s="10">
        <f t="shared" si="75"/>
        <v>-0.3147764809513322</v>
      </c>
      <c r="I24" s="10">
        <f t="shared" si="75"/>
        <v>-0.15155025366359329</v>
      </c>
      <c r="J24" s="10">
        <f t="shared" si="75"/>
        <v>-0.2589047574674429</v>
      </c>
      <c r="K24" s="10">
        <f t="shared" ref="K24:L24" si="76">K18/K3</f>
        <v>-0.30161188828113661</v>
      </c>
      <c r="L24" s="10">
        <f t="shared" si="76"/>
        <v>-0.30326095597650232</v>
      </c>
      <c r="M24" s="10">
        <f t="shared" ref="M24:N24" si="77">M18/M3</f>
        <v>-0.5831522463478378</v>
      </c>
      <c r="N24" s="220">
        <f t="shared" si="77"/>
        <v>-0.50342484680589428</v>
      </c>
      <c r="O24" s="220">
        <f t="shared" ref="O24:P24" si="78">O18/O3</f>
        <v>-0.41191801557655194</v>
      </c>
      <c r="P24" s="220">
        <f t="shared" si="78"/>
        <v>-0.41841249416098936</v>
      </c>
      <c r="Q24" s="220">
        <f t="shared" ref="Q24:R24" si="79">Q18/Q3</f>
        <v>-0.39091170388026225</v>
      </c>
      <c r="R24" s="220">
        <f t="shared" si="79"/>
        <v>-0.43382195085200276</v>
      </c>
      <c r="T24" s="74">
        <f>T18/T3</f>
        <v>-0.17647480466999524</v>
      </c>
      <c r="U24" s="163">
        <f>U18/U3</f>
        <v>-0.32004473066532035</v>
      </c>
      <c r="V24" s="74">
        <f t="shared" ref="V24" si="80">V18/V3</f>
        <v>-0.20180364211915114</v>
      </c>
      <c r="W24" s="244">
        <v>-0.47146359813562494</v>
      </c>
      <c r="X24" s="246"/>
      <c r="AA24" s="10">
        <f>AA18/AA3</f>
        <v>-0.28230353344842696</v>
      </c>
      <c r="AB24" s="10">
        <f>AB18/AB3</f>
        <v>-0.26234628208595223</v>
      </c>
      <c r="AC24" s="220">
        <f t="shared" ref="AC24:AP24" si="81">AC18/AC3</f>
        <v>-0.42007242976793363</v>
      </c>
      <c r="AD24" s="111">
        <f t="shared" si="81"/>
        <v>-0.14609438306644937</v>
      </c>
      <c r="AE24" s="10">
        <f t="shared" si="81"/>
        <v>-3.8611620173807155E-2</v>
      </c>
      <c r="AF24" s="10">
        <f t="shared" si="81"/>
        <v>5.5835199642255189E-2</v>
      </c>
      <c r="AG24" s="10">
        <f t="shared" si="81"/>
        <v>0.13887625895110212</v>
      </c>
      <c r="AH24" s="10">
        <f t="shared" si="81"/>
        <v>0.1587826333978283</v>
      </c>
      <c r="AI24" s="10">
        <f t="shared" si="81"/>
        <v>0.22921602125379242</v>
      </c>
      <c r="AJ24" s="10">
        <f t="shared" si="81"/>
        <v>0.29125261614227843</v>
      </c>
      <c r="AK24" s="10">
        <f t="shared" si="81"/>
        <v>0.3459252311582815</v>
      </c>
      <c r="AL24" s="10">
        <f t="shared" si="81"/>
        <v>0.39413592219311544</v>
      </c>
      <c r="AM24" s="10">
        <f t="shared" si="81"/>
        <v>0.43667299895390199</v>
      </c>
      <c r="AN24" s="10">
        <f t="shared" si="81"/>
        <v>0.47422576367482472</v>
      </c>
      <c r="AO24" s="10">
        <f t="shared" si="81"/>
        <v>0.50739728913609727</v>
      </c>
      <c r="AP24" s="10">
        <f t="shared" si="81"/>
        <v>0.536715503726089</v>
      </c>
      <c r="AQ24" s="10">
        <f t="shared" ref="AQ24:AR24" si="82">AQ18/AQ3</f>
        <v>0.56264281374705427</v>
      </c>
      <c r="AR24" s="10">
        <f t="shared" si="82"/>
        <v>0.58558446103343176</v>
      </c>
      <c r="AT24" s="128" t="s">
        <v>7</v>
      </c>
      <c r="AU24" s="123">
        <f>Main!C11</f>
        <v>2231.6729999999998</v>
      </c>
    </row>
    <row r="25" spans="2:83" ht="15" x14ac:dyDescent="0.25">
      <c r="B25" s="6" t="s">
        <v>30</v>
      </c>
      <c r="C25" s="10">
        <f t="shared" ref="C25:J25" si="83">C17/C16</f>
        <v>-1.3355414284951119E-5</v>
      </c>
      <c r="D25" s="10">
        <f t="shared" si="83"/>
        <v>-6.9196490354009248E-5</v>
      </c>
      <c r="E25" s="10">
        <f t="shared" si="83"/>
        <v>-3.8003800380038001E-4</v>
      </c>
      <c r="F25" s="10">
        <f t="shared" si="83"/>
        <v>9.9393019726858919E-2</v>
      </c>
      <c r="G25" s="10">
        <f t="shared" si="83"/>
        <v>-1.4694969177302145E-5</v>
      </c>
      <c r="H25" s="10">
        <f t="shared" si="83"/>
        <v>-1.3993842709207952E-4</v>
      </c>
      <c r="I25" s="10">
        <f t="shared" si="83"/>
        <v>1.2764107024095776E-2</v>
      </c>
      <c r="J25" s="10">
        <f t="shared" si="83"/>
        <v>-4.4747307317139712E-3</v>
      </c>
      <c r="K25" s="10">
        <f t="shared" ref="K25:L25" si="84">K17/K16</f>
        <v>-1.7065479502875161E-3</v>
      </c>
      <c r="L25" s="10">
        <f t="shared" si="84"/>
        <v>-1.5529685160771344E-3</v>
      </c>
      <c r="M25" s="10">
        <f t="shared" ref="M25:N25" si="85">M17/M16</f>
        <v>-1.1673022715967497E-3</v>
      </c>
      <c r="N25" s="220">
        <f t="shared" si="85"/>
        <v>-1.1107141246622243E-2</v>
      </c>
      <c r="O25" s="220">
        <f t="shared" ref="O25:P25" si="86">O17/O16</f>
        <v>-2.7152817244081922E-3</v>
      </c>
      <c r="P25" s="220">
        <f t="shared" si="86"/>
        <v>4.3205151060728393E-3</v>
      </c>
      <c r="Q25" s="220">
        <f t="shared" ref="Q25:R25" si="87">Q17/Q16</f>
        <v>-2.4521260148278119E-3</v>
      </c>
      <c r="R25" s="220">
        <f t="shared" si="87"/>
        <v>-8.5214250776003407E-4</v>
      </c>
      <c r="T25" s="74">
        <f>T17/T16</f>
        <v>-5.8143950486894873E-3</v>
      </c>
      <c r="U25" s="163">
        <f>U17/U16</f>
        <v>-1.554111834331342E-3</v>
      </c>
      <c r="V25" s="74">
        <f t="shared" ref="V25" si="88">V17/V16</f>
        <v>-2.1744084525061108E-3</v>
      </c>
      <c r="W25" s="244">
        <v>-1.209261242904384E-3</v>
      </c>
      <c r="X25" s="246"/>
      <c r="AA25" s="10">
        <f>AA17/AA16</f>
        <v>2.4884847759765513E-2</v>
      </c>
      <c r="AB25" s="10">
        <f>AB17/AB16</f>
        <v>6.3516008018896014E-4</v>
      </c>
      <c r="AC25" s="220">
        <f t="shared" ref="AC25:AP25" si="89">AC17/AC16</f>
        <v>-4.4144749214195516E-3</v>
      </c>
      <c r="AD25" s="111">
        <f t="shared" si="89"/>
        <v>-9.816481523117624E-3</v>
      </c>
      <c r="AE25" s="10">
        <f t="shared" si="89"/>
        <v>-3.3040640624499108E-2</v>
      </c>
      <c r="AF25" s="10">
        <f t="shared" si="89"/>
        <v>1.8869907013938449E-2</v>
      </c>
      <c r="AG25" s="10">
        <f t="shared" si="89"/>
        <v>6.6790544020396431E-3</v>
      </c>
      <c r="AH25" s="10">
        <f t="shared" si="89"/>
        <v>5.5697464511918499E-3</v>
      </c>
      <c r="AI25" s="10">
        <f t="shared" si="89"/>
        <v>3.3624708205719084E-3</v>
      </c>
      <c r="AJ25" s="10">
        <f t="shared" si="89"/>
        <v>2.3035466413291092E-3</v>
      </c>
      <c r="AK25" s="10">
        <f t="shared" si="89"/>
        <v>1.6875429188235112E-3</v>
      </c>
      <c r="AL25" s="10">
        <f t="shared" si="89"/>
        <v>1.2884476880927105E-3</v>
      </c>
      <c r="AM25" s="10">
        <f t="shared" si="89"/>
        <v>1.0115306167989601E-3</v>
      </c>
      <c r="AN25" s="10">
        <f t="shared" si="89"/>
        <v>8.1010244919058549E-4</v>
      </c>
      <c r="AO25" s="10">
        <f t="shared" si="89"/>
        <v>6.5848365970790871E-4</v>
      </c>
      <c r="AP25" s="10">
        <f t="shared" si="89"/>
        <v>5.4137980596618012E-4</v>
      </c>
      <c r="AQ25" s="10">
        <f t="shared" ref="AQ25:AR25" si="90">AQ17/AQ16</f>
        <v>4.491130419561179E-4</v>
      </c>
      <c r="AR25" s="10">
        <f t="shared" si="90"/>
        <v>3.7526075313636993E-4</v>
      </c>
      <c r="AT25" s="128" t="s">
        <v>116</v>
      </c>
      <c r="AU25" s="123">
        <f>AU23+AU24</f>
        <v>45517.455709661343</v>
      </c>
    </row>
    <row r="26" spans="2:83" x14ac:dyDescent="0.25">
      <c r="B26" s="1"/>
      <c r="O26" s="55"/>
      <c r="T26" s="71"/>
      <c r="U26" s="162"/>
      <c r="V26" s="71"/>
      <c r="W26" s="243"/>
      <c r="X26" s="282"/>
      <c r="AA26" s="7"/>
      <c r="AB26" s="7"/>
      <c r="AT26" s="38" t="s">
        <v>117</v>
      </c>
      <c r="AU26" s="124">
        <f>AU25/Main!C7</f>
        <v>72.616817523553678</v>
      </c>
      <c r="AV26" s="62"/>
      <c r="AX26" s="9"/>
    </row>
    <row r="27" spans="2:83" ht="15" x14ac:dyDescent="0.25">
      <c r="B27" s="15" t="s">
        <v>56</v>
      </c>
      <c r="C27" s="16" t="s">
        <v>33</v>
      </c>
      <c r="D27" s="10">
        <f t="shared" ref="D27:L27" si="91">D3/C3-1</f>
        <v>0.24027975490499487</v>
      </c>
      <c r="E27" s="10">
        <f t="shared" si="91"/>
        <v>0.25710607209868663</v>
      </c>
      <c r="F27" s="10">
        <f t="shared" si="91"/>
        <v>0.23061441603086785</v>
      </c>
      <c r="G27" s="10">
        <f t="shared" si="91"/>
        <v>0.24827343722279016</v>
      </c>
      <c r="H27" s="10">
        <f t="shared" si="91"/>
        <v>0.17345778549574131</v>
      </c>
      <c r="I27" s="10">
        <f t="shared" si="91"/>
        <v>0.12163840563752482</v>
      </c>
      <c r="J27" s="10">
        <f t="shared" si="91"/>
        <v>0.11668721629729695</v>
      </c>
      <c r="K27" s="10">
        <f t="shared" si="91"/>
        <v>-5.5620119943245783E-2</v>
      </c>
      <c r="L27" s="10">
        <f t="shared" si="91"/>
        <v>0.10066947912438984</v>
      </c>
      <c r="M27" s="10">
        <f t="shared" ref="M27" si="92">M3/L3-1</f>
        <v>-0.12432193800141067</v>
      </c>
      <c r="N27" s="10">
        <f t="shared" ref="N27:P27" si="93">N3/M3-1</f>
        <v>0.11840094879922436</v>
      </c>
      <c r="O27" s="10">
        <f t="shared" si="93"/>
        <v>0.1318471029561108</v>
      </c>
      <c r="P27" s="10">
        <f t="shared" si="93"/>
        <v>3.8791840621108742E-2</v>
      </c>
      <c r="Q27" s="10">
        <f t="shared" ref="Q27" si="94">Q3/P3-1</f>
        <v>4.7680113284153558E-2</v>
      </c>
      <c r="R27" s="10">
        <f t="shared" ref="R27" si="95">R3/Q3-1</f>
        <v>5.1476041922254412E-2</v>
      </c>
      <c r="T27" s="74">
        <f>T3/J3-1</f>
        <v>0.13622563817648281</v>
      </c>
      <c r="U27" s="163">
        <f>U3/K3-1</f>
        <v>3.9857838081372554E-2</v>
      </c>
      <c r="V27" s="74">
        <f>V3/L3-1</f>
        <v>7.6898615882423638E-2</v>
      </c>
      <c r="W27" s="244">
        <v>-2.4222281558735514E-2</v>
      </c>
      <c r="X27" s="246">
        <v>0.05</v>
      </c>
      <c r="AA27" s="197" t="s">
        <v>33</v>
      </c>
      <c r="AB27" s="197" t="s">
        <v>33</v>
      </c>
      <c r="AT27" s="129" t="s">
        <v>121</v>
      </c>
      <c r="AU27" s="125">
        <f>Main!C6</f>
        <v>44.74</v>
      </c>
    </row>
    <row r="28" spans="2:83" s="1" customFormat="1" ht="15" x14ac:dyDescent="0.25">
      <c r="B28" s="1" t="s">
        <v>35</v>
      </c>
      <c r="C28" s="2" t="s">
        <v>33</v>
      </c>
      <c r="D28" s="2" t="s">
        <v>33</v>
      </c>
      <c r="E28" s="2" t="s">
        <v>33</v>
      </c>
      <c r="F28" s="2" t="s">
        <v>33</v>
      </c>
      <c r="G28" s="13">
        <f t="shared" ref="G28:L28" si="96">G3/C3-1</f>
        <v>1.3950980998947826</v>
      </c>
      <c r="H28" s="13">
        <f t="shared" si="96"/>
        <v>1.2660585252904308</v>
      </c>
      <c r="I28" s="13">
        <f t="shared" si="96"/>
        <v>1.0218646045872801</v>
      </c>
      <c r="J28" s="13">
        <f t="shared" si="96"/>
        <v>0.83468544461612404</v>
      </c>
      <c r="K28" s="13">
        <f t="shared" si="96"/>
        <v>0.38802923178698423</v>
      </c>
      <c r="L28" s="13">
        <f t="shared" si="96"/>
        <v>0.3019312926668134</v>
      </c>
      <c r="M28" s="13">
        <f t="shared" ref="M28" si="97">M3/I3-1</f>
        <v>1.6435123376317362E-2</v>
      </c>
      <c r="N28" s="13">
        <f t="shared" ref="N28:O28" si="98">N3/J3-1</f>
        <v>1.7995003243847618E-2</v>
      </c>
      <c r="O28" s="270">
        <f t="shared" si="98"/>
        <v>0.22007543741412761</v>
      </c>
      <c r="P28" s="270">
        <f t="shared" ref="P28" si="99">P3/L3-1</f>
        <v>0.15148501286351479</v>
      </c>
      <c r="Q28" s="270">
        <f t="shared" ref="Q28" si="100">Q3/M3-1</f>
        <v>0.37766149578815833</v>
      </c>
      <c r="R28" s="270">
        <f t="shared" ref="R28" si="101">R3/N3-1</f>
        <v>0.29522248550959906</v>
      </c>
      <c r="T28" s="75">
        <f>T3/G3-1</f>
        <v>0.66999999999999993</v>
      </c>
      <c r="U28" s="164">
        <f>U3/H3-1</f>
        <v>0.22999999999999998</v>
      </c>
      <c r="V28" s="75">
        <f>V3/I3-1</f>
        <v>0.25000000000000022</v>
      </c>
      <c r="W28" s="245">
        <v>9.2268390154878199E-2</v>
      </c>
      <c r="X28" s="247">
        <v>0.13184829111543861</v>
      </c>
      <c r="AA28" s="13"/>
      <c r="AB28" s="13">
        <f>AB3/AA3-1</f>
        <v>1.0772942519902369</v>
      </c>
      <c r="AC28" s="221">
        <f t="shared" ref="AC28:AP28" si="102">AC3/AB3-1</f>
        <v>0.15937579623808262</v>
      </c>
      <c r="AD28" s="112">
        <f>AD3/AC3-1</f>
        <v>0.30000000000000004</v>
      </c>
      <c r="AE28" s="13">
        <f t="shared" si="102"/>
        <v>0.14999999999999991</v>
      </c>
      <c r="AF28" s="13">
        <f t="shared" si="102"/>
        <v>0.14999999999999991</v>
      </c>
      <c r="AG28" s="13">
        <f t="shared" si="102"/>
        <v>0.14999999999999991</v>
      </c>
      <c r="AH28" s="13">
        <f t="shared" si="102"/>
        <v>5.0000000000000044E-2</v>
      </c>
      <c r="AI28" s="13">
        <f t="shared" si="102"/>
        <v>0.14999999999999991</v>
      </c>
      <c r="AJ28" s="13">
        <f t="shared" si="102"/>
        <v>0.14999999999999991</v>
      </c>
      <c r="AK28" s="13">
        <f t="shared" si="102"/>
        <v>0.14999999999999991</v>
      </c>
      <c r="AL28" s="13">
        <f t="shared" si="102"/>
        <v>0.14999999999999991</v>
      </c>
      <c r="AM28" s="13">
        <f t="shared" si="102"/>
        <v>0.14999999999999991</v>
      </c>
      <c r="AN28" s="13">
        <f t="shared" si="102"/>
        <v>0.14999999999999991</v>
      </c>
      <c r="AO28" s="13">
        <f t="shared" si="102"/>
        <v>0.14999999999999991</v>
      </c>
      <c r="AP28" s="13">
        <f t="shared" si="102"/>
        <v>0.14999999999999991</v>
      </c>
      <c r="AQ28" s="13">
        <f t="shared" ref="AQ28:AR28" si="103">AQ3/AP3-1</f>
        <v>0.14999999999999991</v>
      </c>
      <c r="AR28" s="13">
        <f t="shared" si="103"/>
        <v>0.14999999999999991</v>
      </c>
      <c r="AT28" s="130" t="s">
        <v>120</v>
      </c>
      <c r="AU28" s="126">
        <f>AU26/AU27-1</f>
        <v>0.62308487982909422</v>
      </c>
    </row>
    <row r="29" spans="2:83" s="1" customFormat="1" ht="15" x14ac:dyDescent="0.25">
      <c r="C29" s="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270"/>
      <c r="T29" s="75"/>
      <c r="U29" s="164"/>
      <c r="V29" s="192"/>
      <c r="W29" s="245"/>
      <c r="X29" s="247"/>
      <c r="AA29" s="13"/>
      <c r="AB29" s="13"/>
      <c r="AC29" s="221"/>
      <c r="AD29" s="112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</row>
    <row r="30" spans="2:83" s="184" customFormat="1" ht="15" x14ac:dyDescent="0.25">
      <c r="B30" s="184" t="s">
        <v>216</v>
      </c>
      <c r="C30" s="2" t="s">
        <v>33</v>
      </c>
      <c r="D30" s="185">
        <f t="shared" ref="D30:K30" si="104">D8/C8-1</f>
        <v>-0.18539132546702008</v>
      </c>
      <c r="E30" s="185">
        <f t="shared" si="104"/>
        <v>0.28470272553355347</v>
      </c>
      <c r="F30" s="185">
        <f t="shared" si="104"/>
        <v>0.16165777055774733</v>
      </c>
      <c r="G30" s="185">
        <f t="shared" si="104"/>
        <v>0.60893668736577489</v>
      </c>
      <c r="H30" s="185">
        <f t="shared" si="104"/>
        <v>0.29079922188651119</v>
      </c>
      <c r="I30" s="185">
        <f t="shared" si="104"/>
        <v>0.10819411934459877</v>
      </c>
      <c r="J30" s="185">
        <f t="shared" si="104"/>
        <v>0.25552461210170341</v>
      </c>
      <c r="K30" s="185">
        <f t="shared" si="104"/>
        <v>2.4151639108140888E-2</v>
      </c>
      <c r="L30" s="185">
        <f>L8/K8-1</f>
        <v>0.19123884744771091</v>
      </c>
      <c r="M30" s="185">
        <f t="shared" ref="M30" si="105">M8/L8-1</f>
        <v>0.11236464438011495</v>
      </c>
      <c r="N30" s="185">
        <f t="shared" ref="N30" si="106">N8/M8-1</f>
        <v>5.4578414016497545E-2</v>
      </c>
      <c r="O30" s="185">
        <f t="shared" ref="O30" si="107">O8/N8-1</f>
        <v>0.10921592386687973</v>
      </c>
      <c r="P30" s="185">
        <f t="shared" ref="P30" si="108">P8/O8-1</f>
        <v>0.14437988364539089</v>
      </c>
      <c r="Q30" s="185">
        <f t="shared" ref="Q30:R30" si="109">Q8/P8-1</f>
        <v>1.9960738173088188E-2</v>
      </c>
      <c r="R30" s="185">
        <f t="shared" si="109"/>
        <v>6.068162667553878E-2</v>
      </c>
      <c r="T30" s="187"/>
      <c r="U30" s="188"/>
      <c r="V30" s="193">
        <f>V8/L8-1</f>
        <v>-0.14026981054699483</v>
      </c>
      <c r="W30" s="246">
        <v>8.0000000000000071E-2</v>
      </c>
      <c r="X30" s="246">
        <v>0.03</v>
      </c>
      <c r="AA30" s="185"/>
      <c r="AB30" s="185"/>
      <c r="AC30" s="222"/>
      <c r="AD30" s="186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</row>
    <row r="31" spans="2:83" s="1" customFormat="1" ht="15" x14ac:dyDescent="0.25">
      <c r="B31" s="1" t="s">
        <v>217</v>
      </c>
      <c r="C31" s="2" t="s">
        <v>33</v>
      </c>
      <c r="D31" s="2" t="s">
        <v>33</v>
      </c>
      <c r="E31" s="2" t="s">
        <v>33</v>
      </c>
      <c r="F31" s="2" t="s">
        <v>33</v>
      </c>
      <c r="G31" s="13">
        <f t="shared" ref="G31:K31" si="110">G8/C8-1</f>
        <v>0.95599991904308945</v>
      </c>
      <c r="H31" s="13">
        <f t="shared" si="110"/>
        <v>2.0994061964272404</v>
      </c>
      <c r="I31" s="13">
        <f t="shared" si="110"/>
        <v>1.6735708207627447</v>
      </c>
      <c r="J31" s="13">
        <f t="shared" si="110"/>
        <v>1.8896066059566814</v>
      </c>
      <c r="K31" s="13">
        <f t="shared" si="110"/>
        <v>0.83934853689830713</v>
      </c>
      <c r="L31" s="13">
        <f>L8/H8-1</f>
        <v>0.69747811588161723</v>
      </c>
      <c r="M31" s="13">
        <f t="shared" ref="M31" si="111">M8/I8-1</f>
        <v>0.70386632427935902</v>
      </c>
      <c r="N31" s="13">
        <f t="shared" ref="N31:O31" si="112">N8/J8-1</f>
        <v>0.43116321945036606</v>
      </c>
      <c r="O31" s="13">
        <f t="shared" si="112"/>
        <v>0.55003319044565191</v>
      </c>
      <c r="P31" s="13">
        <f t="shared" ref="P31" si="113">P8/L8-1</f>
        <v>0.48906057414867043</v>
      </c>
      <c r="Q31" s="13">
        <f t="shared" ref="Q31" si="114">Q8/M8-1</f>
        <v>0.36536461318355684</v>
      </c>
      <c r="R31" s="13">
        <f t="shared" ref="R31" si="115">R8/N8-1</f>
        <v>0.37326645384389323</v>
      </c>
      <c r="T31" s="75"/>
      <c r="U31" s="164"/>
      <c r="V31" s="192">
        <f>V8/I8-1</f>
        <v>0.31689309362363915</v>
      </c>
      <c r="W31" s="247">
        <v>0.46566272973440115</v>
      </c>
      <c r="AA31" s="13"/>
      <c r="AB31" s="13">
        <f>AB8/AA8-1</f>
        <v>1.6470687523891319</v>
      </c>
      <c r="AC31" s="221"/>
      <c r="AD31" s="112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</row>
    <row r="32" spans="2:83" s="1" customFormat="1" ht="15" x14ac:dyDescent="0.25">
      <c r="C32" s="2"/>
      <c r="D32" s="2"/>
      <c r="E32" s="2"/>
      <c r="F32" s="2"/>
      <c r="G32" s="13"/>
      <c r="H32" s="13"/>
      <c r="I32" s="13"/>
      <c r="J32" s="13"/>
      <c r="K32" s="13"/>
      <c r="L32" s="13"/>
      <c r="M32" s="13"/>
      <c r="N32" s="221"/>
      <c r="O32" s="270"/>
      <c r="T32" s="13"/>
      <c r="U32" s="164"/>
      <c r="V32" s="75"/>
      <c r="W32" s="245"/>
      <c r="AA32" s="13"/>
      <c r="AB32" s="13"/>
      <c r="AC32" s="221"/>
      <c r="AD32" s="112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T32" s="49"/>
      <c r="AU32" s="78"/>
    </row>
    <row r="33" spans="2:47" s="1" customFormat="1" ht="15" x14ac:dyDescent="0.25">
      <c r="B33" s="12" t="s">
        <v>171</v>
      </c>
      <c r="C33" s="2"/>
      <c r="D33" s="2"/>
      <c r="E33" s="2"/>
      <c r="F33" s="2"/>
      <c r="G33" s="13"/>
      <c r="H33" s="13"/>
      <c r="I33" s="13"/>
      <c r="J33" s="13"/>
      <c r="K33" s="13"/>
      <c r="L33" s="13"/>
      <c r="M33" s="13"/>
      <c r="N33" s="221"/>
      <c r="O33" s="270"/>
      <c r="T33" s="13"/>
      <c r="U33" s="164"/>
      <c r="V33" s="75"/>
      <c r="W33" s="245"/>
      <c r="AA33" s="13"/>
      <c r="AB33" s="13"/>
      <c r="AC33" s="221"/>
      <c r="AD33" s="112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T33" s="78"/>
    </row>
    <row r="34" spans="2:47" s="1" customFormat="1" ht="15" x14ac:dyDescent="0.25">
      <c r="B34" s="1" t="s">
        <v>122</v>
      </c>
      <c r="C34" s="4">
        <v>249.57599999999999</v>
      </c>
      <c r="D34" s="4">
        <v>494.17099999999999</v>
      </c>
      <c r="E34" s="4">
        <v>496.48500000000001</v>
      </c>
      <c r="F34" s="4">
        <f>1882.543-E34-D34-C34</f>
        <v>642.31099999999992</v>
      </c>
      <c r="G34" s="4">
        <v>652.27700000000004</v>
      </c>
      <c r="H34" s="4">
        <v>665.48</v>
      </c>
      <c r="I34" s="4">
        <v>637.83299999999997</v>
      </c>
      <c r="J34" s="81">
        <f>2725.706-I34-H34-G34</f>
        <v>770.11599999999999</v>
      </c>
      <c r="K34" s="4">
        <v>631.20600000000002</v>
      </c>
      <c r="L34" s="4">
        <v>639.90200000000004</v>
      </c>
      <c r="M34" s="4">
        <v>701.7</v>
      </c>
      <c r="N34" s="223">
        <v>899.4</v>
      </c>
      <c r="O34" s="223">
        <v>773.8</v>
      </c>
      <c r="P34" s="1">
        <v>780.7</v>
      </c>
      <c r="Q34" s="1">
        <v>839.5</v>
      </c>
      <c r="R34" s="3">
        <v>1126.8219999999999</v>
      </c>
      <c r="T34" s="13"/>
      <c r="U34" s="165">
        <f>K34*(1+U35)</f>
        <v>634.36203</v>
      </c>
      <c r="V34" s="194">
        <f>U34*(1+V35)</f>
        <v>637.53384014999995</v>
      </c>
      <c r="W34" s="248">
        <v>757.83600000000013</v>
      </c>
      <c r="AA34" s="3">
        <f>SUM(C34:F34)</f>
        <v>1882.5429999999999</v>
      </c>
      <c r="AB34" s="3">
        <f>SUM(D34:G34)</f>
        <v>2285.2439999999997</v>
      </c>
      <c r="AC34" s="3">
        <f>SUM(K34:N34)</f>
        <v>2872.2080000000001</v>
      </c>
      <c r="AD34" s="112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T34" s="78"/>
    </row>
    <row r="35" spans="2:47" s="1" customFormat="1" ht="15" x14ac:dyDescent="0.25">
      <c r="B35" s="79" t="s">
        <v>128</v>
      </c>
      <c r="C35" s="2" t="s">
        <v>33</v>
      </c>
      <c r="D35" s="117">
        <f t="shared" ref="D35:L35" si="116">D34/C34-1</f>
        <v>0.98004215148892526</v>
      </c>
      <c r="E35" s="117">
        <f t="shared" si="116"/>
        <v>4.6825896299054204E-3</v>
      </c>
      <c r="F35" s="117">
        <f t="shared" si="116"/>
        <v>0.29371682931004939</v>
      </c>
      <c r="G35" s="117">
        <f t="shared" si="116"/>
        <v>1.5515848241739683E-2</v>
      </c>
      <c r="H35" s="117">
        <f t="shared" si="116"/>
        <v>2.0241400509292795E-2</v>
      </c>
      <c r="I35" s="117">
        <f t="shared" si="116"/>
        <v>-4.1544449119432669E-2</v>
      </c>
      <c r="J35" s="117">
        <f t="shared" si="116"/>
        <v>0.20739441201693865</v>
      </c>
      <c r="K35" s="117">
        <f t="shared" si="116"/>
        <v>-0.18037542396210438</v>
      </c>
      <c r="L35" s="117">
        <f t="shared" si="116"/>
        <v>1.3776801868169875E-2</v>
      </c>
      <c r="M35" s="117">
        <f t="shared" ref="M35" si="117">M34/L34-1</f>
        <v>9.6574162918696915E-2</v>
      </c>
      <c r="N35" s="265">
        <f>N34/M34-1</f>
        <v>0.28174433518597675</v>
      </c>
      <c r="O35" s="265">
        <f t="shared" ref="O35" si="118">O34/N34-1</f>
        <v>-0.13964865465866139</v>
      </c>
      <c r="P35" s="265">
        <f t="shared" ref="P35" si="119">P34/O34-1</f>
        <v>8.9170328250194331E-3</v>
      </c>
      <c r="Q35" s="265">
        <f t="shared" ref="Q35" si="120">Q34/P34-1</f>
        <v>7.5317023184321652E-2</v>
      </c>
      <c r="R35" s="265">
        <f t="shared" ref="R35" si="121">R34/Q34-1</f>
        <v>0.34225372245384134</v>
      </c>
      <c r="T35" s="13"/>
      <c r="U35" s="164">
        <v>5.0000000000000001E-3</v>
      </c>
      <c r="V35" s="75">
        <v>5.0000000000000001E-3</v>
      </c>
      <c r="W35" s="245">
        <v>8.0000000000000071E-2</v>
      </c>
      <c r="AA35" s="191" t="s">
        <v>33</v>
      </c>
      <c r="AB35" s="191" t="s">
        <v>33</v>
      </c>
      <c r="AC35" s="191" t="s">
        <v>33</v>
      </c>
      <c r="AD35" s="112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T35" s="49"/>
      <c r="AU35" s="78"/>
    </row>
    <row r="36" spans="2:47" ht="15" x14ac:dyDescent="0.25">
      <c r="B36" s="79" t="s">
        <v>129</v>
      </c>
      <c r="C36" s="2" t="s">
        <v>33</v>
      </c>
      <c r="D36" s="2" t="s">
        <v>33</v>
      </c>
      <c r="E36" s="2" t="s">
        <v>33</v>
      </c>
      <c r="F36" s="2" t="s">
        <v>33</v>
      </c>
      <c r="G36" s="80">
        <f>G34/C34-1</f>
        <v>1.6135405647978973</v>
      </c>
      <c r="H36" s="80">
        <f>H34/D34-1</f>
        <v>0.3466593547577661</v>
      </c>
      <c r="I36" s="80">
        <f>I34/E34-1</f>
        <v>0.28469742288286648</v>
      </c>
      <c r="J36" s="80">
        <f>J34/F34-1</f>
        <v>0.19897681964033009</v>
      </c>
      <c r="K36" s="80">
        <f t="shared" ref="K36:L36" si="122">K34/G34-1</f>
        <v>-3.2303760518920699E-2</v>
      </c>
      <c r="L36" s="80">
        <f t="shared" si="122"/>
        <v>-3.8435415038769016E-2</v>
      </c>
      <c r="M36" s="80">
        <f t="shared" ref="M36" si="123">M34/I34-1</f>
        <v>0.10013122557158383</v>
      </c>
      <c r="N36" s="80">
        <f>N34/J34-1</f>
        <v>0.16787600828966021</v>
      </c>
      <c r="O36" s="80">
        <f t="shared" ref="O36" si="124">O34/K34-1</f>
        <v>0.22590723155356551</v>
      </c>
      <c r="P36" s="80">
        <f t="shared" ref="P36" si="125">P34/L34-1</f>
        <v>0.22003056718059955</v>
      </c>
      <c r="Q36" s="80">
        <f t="shared" ref="Q36" si="126">Q34/M34-1</f>
        <v>0.19638021946700857</v>
      </c>
      <c r="R36" s="80">
        <f t="shared" ref="R36" si="127">R34/N34-1</f>
        <v>0.25285968423393368</v>
      </c>
      <c r="U36" s="166">
        <f>U34/H34-1</f>
        <v>-4.6760188134880143E-2</v>
      </c>
      <c r="V36" s="195">
        <f>V34/I34-1</f>
        <v>-4.6902535616688557E-4</v>
      </c>
      <c r="W36" s="249">
        <v>-1.5945649746271773E-2</v>
      </c>
      <c r="AB36" s="80">
        <f>AB34/AA34-1</f>
        <v>0.21391330769071404</v>
      </c>
      <c r="AC36" s="80">
        <f>AC34/AB34-1</f>
        <v>0.25684959680454278</v>
      </c>
      <c r="AU36" s="52"/>
    </row>
    <row r="37" spans="2:47" s="259" customFormat="1" ht="15" x14ac:dyDescent="0.25">
      <c r="B37" s="256" t="s">
        <v>317</v>
      </c>
      <c r="C37" s="257"/>
      <c r="D37" s="257"/>
      <c r="E37" s="257"/>
      <c r="F37" s="257"/>
      <c r="G37" s="258"/>
      <c r="H37" s="258"/>
      <c r="I37" s="258"/>
      <c r="J37" s="258"/>
      <c r="K37" s="258"/>
      <c r="L37" s="258"/>
      <c r="M37" s="258"/>
      <c r="N37" s="258">
        <v>2128</v>
      </c>
      <c r="O37" s="271"/>
      <c r="T37" s="258"/>
      <c r="U37" s="260"/>
      <c r="V37" s="261"/>
      <c r="W37" s="262"/>
      <c r="AB37" s="258"/>
      <c r="AC37" s="258">
        <v>2128</v>
      </c>
      <c r="AD37" s="263"/>
    </row>
    <row r="38" spans="2:47" x14ac:dyDescent="0.25">
      <c r="B38" s="1"/>
      <c r="O38" s="57"/>
      <c r="AU38" s="52"/>
    </row>
    <row r="39" spans="2:47" x14ac:dyDescent="0.25">
      <c r="B39" s="12" t="s">
        <v>36</v>
      </c>
      <c r="F39" s="98"/>
      <c r="G39" s="98"/>
      <c r="H39" s="98"/>
      <c r="I39" s="98"/>
      <c r="J39" s="98"/>
      <c r="K39" s="98"/>
      <c r="L39" s="98"/>
      <c r="M39" s="98"/>
      <c r="O39" s="57"/>
    </row>
    <row r="40" spans="2:47" s="1" customFormat="1" ht="15" x14ac:dyDescent="0.25">
      <c r="B40" s="1" t="s">
        <v>3</v>
      </c>
      <c r="C40" s="2" t="s">
        <v>33</v>
      </c>
      <c r="D40" s="2" t="s">
        <v>33</v>
      </c>
      <c r="E40" s="2" t="s">
        <v>33</v>
      </c>
      <c r="F40" s="4">
        <v>893.94299999999998</v>
      </c>
      <c r="G40" s="4">
        <v>1600.53</v>
      </c>
      <c r="H40" s="4">
        <v>1780.2619999999999</v>
      </c>
      <c r="I40" s="4">
        <v>1925.559</v>
      </c>
      <c r="J40" s="4">
        <f>3004.3</f>
        <v>3004.3</v>
      </c>
      <c r="K40" s="148">
        <v>3132.9639999999999</v>
      </c>
      <c r="L40" s="148">
        <v>3075.4749999999999</v>
      </c>
      <c r="M40" s="148">
        <v>3021.5070000000001</v>
      </c>
      <c r="N40" s="4">
        <v>2977.4740000000002</v>
      </c>
      <c r="O40" s="3">
        <v>828.12900000000002</v>
      </c>
      <c r="P40" s="3">
        <v>520.26400000000001</v>
      </c>
      <c r="Q40" s="3">
        <v>580.04899999999998</v>
      </c>
      <c r="R40" s="3">
        <v>678.46600000000001</v>
      </c>
      <c r="T40" s="2"/>
      <c r="U40" s="13"/>
      <c r="V40" s="2"/>
      <c r="AD40" s="227"/>
    </row>
    <row r="41" spans="2:47" s="1" customFormat="1" ht="15" x14ac:dyDescent="0.25">
      <c r="B41" s="1" t="s">
        <v>322</v>
      </c>
      <c r="C41" s="2" t="s">
        <v>33</v>
      </c>
      <c r="D41" s="2" t="s">
        <v>33</v>
      </c>
      <c r="E41" s="2" t="s">
        <v>33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3">
        <v>1412.8620000000001</v>
      </c>
      <c r="P41" s="3">
        <v>1599.6020000000001</v>
      </c>
      <c r="Q41" s="3">
        <v>1576.2929999999999</v>
      </c>
      <c r="R41" s="3">
        <v>1514.808</v>
      </c>
      <c r="T41" s="2"/>
      <c r="U41" s="13"/>
      <c r="V41" s="2"/>
      <c r="AD41" s="227"/>
    </row>
    <row r="42" spans="2:47" ht="15" x14ac:dyDescent="0.25">
      <c r="B42" s="11" t="s">
        <v>37</v>
      </c>
      <c r="C42" s="2" t="s">
        <v>33</v>
      </c>
      <c r="D42" s="2" t="s">
        <v>33</v>
      </c>
      <c r="E42" s="2" t="s">
        <v>33</v>
      </c>
      <c r="F42" s="5">
        <v>246.98599999999999</v>
      </c>
      <c r="G42" s="5">
        <v>233.78100000000001</v>
      </c>
      <c r="H42" s="5">
        <v>217.01</v>
      </c>
      <c r="I42" s="5">
        <v>168.762</v>
      </c>
      <c r="J42" s="5">
        <v>307.34899999999999</v>
      </c>
      <c r="K42" s="76">
        <v>179.732</v>
      </c>
      <c r="L42" s="76">
        <v>186.82499999999999</v>
      </c>
      <c r="M42" s="76">
        <v>185.83099999999999</v>
      </c>
      <c r="N42" s="5">
        <v>379.35300000000001</v>
      </c>
      <c r="O42" s="275">
        <v>265.24599999999998</v>
      </c>
      <c r="P42" s="9">
        <v>257.35500000000002</v>
      </c>
      <c r="Q42" s="9">
        <v>285.315</v>
      </c>
      <c r="R42" s="9">
        <v>507.76900000000001</v>
      </c>
    </row>
    <row r="43" spans="2:47" ht="15" x14ac:dyDescent="0.25">
      <c r="B43" s="11" t="s">
        <v>41</v>
      </c>
      <c r="C43" s="2" t="s">
        <v>33</v>
      </c>
      <c r="D43" s="2" t="s">
        <v>33</v>
      </c>
      <c r="E43" s="2" t="s">
        <v>33</v>
      </c>
      <c r="F43" s="5">
        <v>26.274000000000001</v>
      </c>
      <c r="G43" s="5">
        <v>29.135000000000002</v>
      </c>
      <c r="H43" s="5">
        <v>45.432000000000002</v>
      </c>
      <c r="I43" s="5">
        <v>37.667000000000002</v>
      </c>
      <c r="J43" s="5">
        <v>32.091000000000001</v>
      </c>
      <c r="K43" s="76">
        <v>43.122999999999998</v>
      </c>
      <c r="L43" s="76">
        <v>57.594999999999999</v>
      </c>
      <c r="M43" s="76">
        <v>72.924999999999997</v>
      </c>
      <c r="N43" s="5">
        <v>61.640999999999998</v>
      </c>
      <c r="O43" s="275">
        <v>76.307000000000002</v>
      </c>
      <c r="P43" s="9">
        <v>69.106999999999999</v>
      </c>
      <c r="Q43" s="9">
        <v>65.004000000000005</v>
      </c>
      <c r="R43" s="9">
        <v>74.549000000000007</v>
      </c>
    </row>
    <row r="44" spans="2:47" ht="15" x14ac:dyDescent="0.25">
      <c r="B44" s="11" t="s">
        <v>38</v>
      </c>
      <c r="C44" s="2" t="s">
        <v>33</v>
      </c>
      <c r="D44" s="2" t="s">
        <v>33</v>
      </c>
      <c r="E44" s="2" t="s">
        <v>33</v>
      </c>
      <c r="F44" s="5">
        <v>256.928</v>
      </c>
      <c r="G44" s="5">
        <v>309.38799999999998</v>
      </c>
      <c r="H44" s="5">
        <v>351.57299999999998</v>
      </c>
      <c r="I44" s="5">
        <v>379.61099999999999</v>
      </c>
      <c r="J44" s="5">
        <v>406.02499999999998</v>
      </c>
      <c r="K44" s="76">
        <v>398.19400000000002</v>
      </c>
      <c r="L44" s="76">
        <v>405.89100000000002</v>
      </c>
      <c r="M44" s="76">
        <v>387.81700000000001</v>
      </c>
      <c r="N44" s="5">
        <v>420.13600000000002</v>
      </c>
      <c r="O44" s="275">
        <v>435.52800000000002</v>
      </c>
      <c r="P44" s="9">
        <v>447.96199999999999</v>
      </c>
      <c r="Q44" s="9">
        <v>462.79500000000002</v>
      </c>
      <c r="R44" s="9">
        <v>501.82100000000003</v>
      </c>
    </row>
    <row r="45" spans="2:47" s="1" customFormat="1" ht="15" x14ac:dyDescent="0.25">
      <c r="B45" s="1" t="s">
        <v>323</v>
      </c>
      <c r="C45" s="2" t="s">
        <v>33</v>
      </c>
      <c r="D45" s="2" t="s">
        <v>33</v>
      </c>
      <c r="E45" s="2" t="s">
        <v>33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3">
        <v>850.92899999999997</v>
      </c>
      <c r="P45" s="3">
        <v>904.89700000000005</v>
      </c>
      <c r="Q45" s="3">
        <v>959.26</v>
      </c>
      <c r="R45" s="3">
        <v>1043.3989999999999</v>
      </c>
      <c r="T45" s="2"/>
      <c r="U45" s="2"/>
      <c r="V45" s="2"/>
      <c r="AD45" s="227"/>
    </row>
    <row r="46" spans="2:47" ht="15" x14ac:dyDescent="0.25">
      <c r="B46" s="11" t="s">
        <v>42</v>
      </c>
      <c r="C46" s="2" t="s">
        <v>33</v>
      </c>
      <c r="D46" s="2" t="s">
        <v>33</v>
      </c>
      <c r="E46" s="2" t="s">
        <v>33</v>
      </c>
      <c r="F46" s="5">
        <v>206.41499999999999</v>
      </c>
      <c r="G46" s="5">
        <v>209.79400000000001</v>
      </c>
      <c r="H46" s="5">
        <v>218.58099999999999</v>
      </c>
      <c r="I46" s="5">
        <v>227.33</v>
      </c>
      <c r="J46" s="5">
        <v>271.35199999999998</v>
      </c>
      <c r="K46" s="76">
        <v>338.87900000000002</v>
      </c>
      <c r="L46" s="76">
        <v>425.95</v>
      </c>
      <c r="M46" s="76">
        <v>525.928</v>
      </c>
      <c r="N46" s="5">
        <v>592.346</v>
      </c>
      <c r="O46" s="275">
        <v>688.34100000000001</v>
      </c>
      <c r="P46" s="9">
        <v>684.73400000000004</v>
      </c>
      <c r="Q46" s="9">
        <v>709.38199999999995</v>
      </c>
      <c r="R46" s="9">
        <v>695.36</v>
      </c>
    </row>
    <row r="47" spans="2:47" ht="15" x14ac:dyDescent="0.25">
      <c r="B47" s="11" t="s">
        <v>39</v>
      </c>
      <c r="C47" s="2" t="s">
        <v>33</v>
      </c>
      <c r="D47" s="2" t="s">
        <v>33</v>
      </c>
      <c r="E47" s="2" t="s">
        <v>33</v>
      </c>
      <c r="F47" s="14" t="s">
        <v>33</v>
      </c>
      <c r="G47" s="5">
        <v>205.11699999999999</v>
      </c>
      <c r="H47" s="5">
        <v>228.232</v>
      </c>
      <c r="I47" s="5">
        <v>220.404</v>
      </c>
      <c r="J47" s="5">
        <v>221.285</v>
      </c>
      <c r="K47" s="76">
        <v>286.24200000000002</v>
      </c>
      <c r="L47" s="76">
        <v>424.416</v>
      </c>
      <c r="M47" s="76">
        <v>452.85199999999998</v>
      </c>
      <c r="N47" s="5">
        <v>526.03</v>
      </c>
      <c r="O47" s="275">
        <v>492.68599999999998</v>
      </c>
      <c r="P47" s="9">
        <v>674.928</v>
      </c>
      <c r="Q47" s="9">
        <v>662.37900000000002</v>
      </c>
      <c r="R47" s="9">
        <v>665.10699999999997</v>
      </c>
    </row>
    <row r="48" spans="2:47" ht="15" x14ac:dyDescent="0.25">
      <c r="B48" s="11" t="s">
        <v>40</v>
      </c>
      <c r="C48" s="2" t="s">
        <v>33</v>
      </c>
      <c r="D48" s="2" t="s">
        <v>33</v>
      </c>
      <c r="E48" s="2" t="s">
        <v>33</v>
      </c>
      <c r="F48" s="5">
        <v>113.79300000000001</v>
      </c>
      <c r="G48" s="5">
        <v>123.595</v>
      </c>
      <c r="H48" s="5">
        <v>127.011</v>
      </c>
      <c r="I48" s="5">
        <v>125.643</v>
      </c>
      <c r="J48" s="5">
        <v>137.524</v>
      </c>
      <c r="K48" s="76">
        <v>159.404</v>
      </c>
      <c r="L48" s="76">
        <v>154.328</v>
      </c>
      <c r="M48" s="76">
        <v>204.92099999999999</v>
      </c>
      <c r="N48" s="5">
        <v>225.13200000000001</v>
      </c>
      <c r="O48" s="275">
        <v>229.87700000000001</v>
      </c>
      <c r="P48" s="9">
        <v>235.90299999999999</v>
      </c>
      <c r="Q48" s="9">
        <v>244.547</v>
      </c>
      <c r="R48" s="9">
        <v>283.32600000000002</v>
      </c>
    </row>
    <row r="49" spans="2:30" ht="15" x14ac:dyDescent="0.25">
      <c r="B49" s="11" t="s">
        <v>45</v>
      </c>
      <c r="C49" s="2" t="s">
        <v>33</v>
      </c>
      <c r="D49" s="2" t="s">
        <v>33</v>
      </c>
      <c r="E49" s="2" t="s">
        <v>33</v>
      </c>
      <c r="F49" s="5">
        <f>42.326+59.568</f>
        <v>101.89400000000001</v>
      </c>
      <c r="G49" s="5">
        <f>40.202+59.568</f>
        <v>99.77</v>
      </c>
      <c r="H49" s="18">
        <f>38.079+59.568</f>
        <v>97.646999999999991</v>
      </c>
      <c r="I49" s="5">
        <f>118.071+63.478</f>
        <v>181.54900000000001</v>
      </c>
      <c r="J49" s="5">
        <f>59.666+118.071</f>
        <v>177.73699999999999</v>
      </c>
      <c r="K49" s="76">
        <f>118.071+55.854</f>
        <v>173.92500000000001</v>
      </c>
      <c r="L49" s="76">
        <f>56.317+130.453</f>
        <v>186.77</v>
      </c>
      <c r="M49" s="76">
        <f>53.655+130.452</f>
        <v>184.107</v>
      </c>
      <c r="N49" s="5">
        <f>134.335+54.717</f>
        <v>189.05200000000002</v>
      </c>
      <c r="O49" s="275">
        <f>50.739+134.335</f>
        <v>185.07400000000001</v>
      </c>
      <c r="P49" s="9">
        <f>59.176+134.335</f>
        <v>193.51100000000002</v>
      </c>
      <c r="Q49" s="9">
        <f>56.794+141.8</f>
        <v>198.59399999999999</v>
      </c>
      <c r="R49" s="9">
        <f>53.06+142.129</f>
        <v>195.18899999999999</v>
      </c>
    </row>
    <row r="50" spans="2:30" ht="15" x14ac:dyDescent="0.25">
      <c r="B50" s="11" t="s">
        <v>44</v>
      </c>
      <c r="C50" s="2" t="s">
        <v>33</v>
      </c>
      <c r="D50" s="2" t="s">
        <v>33</v>
      </c>
      <c r="E50" s="2" t="s">
        <v>33</v>
      </c>
      <c r="F50" s="5">
        <v>1.5669999999999999</v>
      </c>
      <c r="G50" s="5">
        <v>4.9690000000000003</v>
      </c>
      <c r="H50" s="5">
        <v>8.0429999999999993</v>
      </c>
      <c r="I50" s="5">
        <v>5.7549999999999999</v>
      </c>
      <c r="J50" s="5">
        <v>2.9329999999999998</v>
      </c>
      <c r="K50" s="76">
        <v>3.3679999999999999</v>
      </c>
      <c r="L50" s="76">
        <v>2.17</v>
      </c>
      <c r="M50" s="76">
        <v>2.4350000000000001</v>
      </c>
      <c r="N50" s="5">
        <v>4.3230000000000004</v>
      </c>
      <c r="O50" s="275">
        <v>6.4809999999999999</v>
      </c>
      <c r="P50" s="9">
        <v>11.013999999999999</v>
      </c>
      <c r="Q50" s="9">
        <v>10.512</v>
      </c>
      <c r="R50" s="9">
        <v>10.284000000000001</v>
      </c>
    </row>
    <row r="51" spans="2:30" ht="15" x14ac:dyDescent="0.25">
      <c r="B51" s="11" t="s">
        <v>43</v>
      </c>
      <c r="C51" s="2" t="s">
        <v>33</v>
      </c>
      <c r="D51" s="2" t="s">
        <v>33</v>
      </c>
      <c r="E51" s="2" t="s">
        <v>33</v>
      </c>
      <c r="F51" s="5">
        <f t="shared" ref="F51:R51" si="128">SUM(F40:F50)</f>
        <v>1847.8</v>
      </c>
      <c r="G51" s="5">
        <f t="shared" si="128"/>
        <v>2816.0789999999997</v>
      </c>
      <c r="H51" s="5">
        <f t="shared" si="128"/>
        <v>3073.7910000000002</v>
      </c>
      <c r="I51" s="5">
        <f t="shared" si="128"/>
        <v>3272.2799999999997</v>
      </c>
      <c r="J51" s="5">
        <f t="shared" si="128"/>
        <v>4560.5960000000005</v>
      </c>
      <c r="K51" s="5">
        <f t="shared" si="128"/>
        <v>4715.831000000001</v>
      </c>
      <c r="L51" s="5">
        <f t="shared" si="128"/>
        <v>4919.420000000001</v>
      </c>
      <c r="M51" s="5">
        <f t="shared" si="128"/>
        <v>5038.3230000000012</v>
      </c>
      <c r="N51" s="5">
        <f t="shared" si="128"/>
        <v>5375.4870000000001</v>
      </c>
      <c r="O51" s="5">
        <f t="shared" si="128"/>
        <v>5471.46</v>
      </c>
      <c r="P51" s="5">
        <f t="shared" si="128"/>
        <v>5599.277000000001</v>
      </c>
      <c r="Q51" s="5">
        <f t="shared" si="128"/>
        <v>5754.1299999999983</v>
      </c>
      <c r="R51" s="5">
        <f t="shared" si="128"/>
        <v>6170.0779999999995</v>
      </c>
    </row>
    <row r="52" spans="2:30" x14ac:dyDescent="0.25">
      <c r="C52" s="2"/>
      <c r="F52" s="5"/>
      <c r="K52" s="77"/>
      <c r="L52" s="77"/>
      <c r="M52" s="77"/>
      <c r="Q52" s="9"/>
      <c r="R52" s="9"/>
    </row>
    <row r="53" spans="2:30" ht="15" x14ac:dyDescent="0.25">
      <c r="B53" s="11" t="s">
        <v>46</v>
      </c>
      <c r="C53" s="2" t="s">
        <v>33</v>
      </c>
      <c r="D53" s="2" t="s">
        <v>33</v>
      </c>
      <c r="E53" s="2" t="s">
        <v>33</v>
      </c>
      <c r="F53" s="5">
        <v>12.012</v>
      </c>
      <c r="G53" s="5">
        <v>8.2690000000000001</v>
      </c>
      <c r="H53" s="5">
        <v>11.112</v>
      </c>
      <c r="I53" s="5">
        <v>20.733000000000001</v>
      </c>
      <c r="J53" s="5">
        <v>64.394999999999996</v>
      </c>
      <c r="K53" s="76">
        <v>54.295000000000002</v>
      </c>
      <c r="L53" s="76">
        <v>77.509</v>
      </c>
      <c r="M53" s="76">
        <v>45.098999999999997</v>
      </c>
      <c r="N53" s="5">
        <v>71.182000000000002</v>
      </c>
      <c r="O53" s="275">
        <v>120.256</v>
      </c>
      <c r="P53" s="9">
        <v>72.828999999999994</v>
      </c>
      <c r="Q53" s="9">
        <v>86.781000000000006</v>
      </c>
      <c r="R53" s="9">
        <v>60.087000000000003</v>
      </c>
    </row>
    <row r="54" spans="2:30" ht="15" x14ac:dyDescent="0.25">
      <c r="B54" s="11" t="s">
        <v>47</v>
      </c>
      <c r="C54" s="2" t="s">
        <v>33</v>
      </c>
      <c r="D54" s="2" t="s">
        <v>33</v>
      </c>
      <c r="E54" s="2" t="s">
        <v>33</v>
      </c>
      <c r="F54" s="5">
        <v>65.391999999999996</v>
      </c>
      <c r="G54" s="5">
        <v>122.285</v>
      </c>
      <c r="H54" s="5">
        <v>182.084</v>
      </c>
      <c r="I54" s="5">
        <v>157.916</v>
      </c>
      <c r="J54" s="5">
        <v>180.76900000000001</v>
      </c>
      <c r="K54" s="76">
        <v>223.32300000000001</v>
      </c>
      <c r="L54" s="76">
        <v>231.19900000000001</v>
      </c>
      <c r="M54" s="76">
        <v>273.83199999999999</v>
      </c>
      <c r="N54" s="5">
        <v>236.006</v>
      </c>
      <c r="O54" s="275">
        <v>247.94900000000001</v>
      </c>
      <c r="P54" s="9">
        <v>216.273</v>
      </c>
      <c r="Q54" s="9">
        <v>260.39499999999998</v>
      </c>
      <c r="R54" s="9">
        <v>271.12099999999998</v>
      </c>
    </row>
    <row r="55" spans="2:30" ht="15" x14ac:dyDescent="0.25">
      <c r="B55" s="11" t="s">
        <v>48</v>
      </c>
      <c r="C55" s="2" t="s">
        <v>33</v>
      </c>
      <c r="D55" s="2" t="s">
        <v>33</v>
      </c>
      <c r="E55" s="2" t="s">
        <v>33</v>
      </c>
      <c r="F55" s="5">
        <v>80.912000000000006</v>
      </c>
      <c r="G55" s="5">
        <v>84.337000000000003</v>
      </c>
      <c r="H55" s="5">
        <v>90.614999999999995</v>
      </c>
      <c r="I55" s="5">
        <v>117.756</v>
      </c>
      <c r="J55" s="5">
        <v>163.90600000000001</v>
      </c>
      <c r="K55" s="76">
        <v>149.816</v>
      </c>
      <c r="L55" s="76">
        <v>147.19200000000001</v>
      </c>
      <c r="M55" s="76">
        <v>168.36699999999999</v>
      </c>
      <c r="N55" s="5">
        <v>231.70400000000001</v>
      </c>
      <c r="O55" s="275">
        <v>227.839</v>
      </c>
      <c r="P55" s="9">
        <v>220.548</v>
      </c>
      <c r="Q55" s="9">
        <v>239.428</v>
      </c>
      <c r="R55" s="9">
        <v>314.86599999999999</v>
      </c>
    </row>
    <row r="56" spans="2:30" ht="15" x14ac:dyDescent="0.25">
      <c r="B56" s="11" t="s">
        <v>49</v>
      </c>
      <c r="C56" s="2" t="s">
        <v>33</v>
      </c>
      <c r="D56" s="2" t="s">
        <v>33</v>
      </c>
      <c r="E56" s="2" t="s">
        <v>33</v>
      </c>
      <c r="F56" s="5">
        <v>1070.23</v>
      </c>
      <c r="G56" s="5">
        <v>1295.4639999999999</v>
      </c>
      <c r="H56" s="5">
        <v>1488.2</v>
      </c>
      <c r="I56" s="5">
        <v>1621.1859999999999</v>
      </c>
      <c r="J56" s="5">
        <v>1758.02</v>
      </c>
      <c r="K56" s="76">
        <v>1747.2940000000001</v>
      </c>
      <c r="L56" s="76">
        <v>1807.6389999999999</v>
      </c>
      <c r="M56" s="76">
        <v>1750.86</v>
      </c>
      <c r="N56" s="5">
        <v>1941.943</v>
      </c>
      <c r="O56" s="275">
        <v>2037.6959999999999</v>
      </c>
      <c r="P56" s="9">
        <v>2117.0430000000001</v>
      </c>
      <c r="Q56" s="9">
        <v>2208.5309999999999</v>
      </c>
      <c r="R56" s="9">
        <v>2406.2919999999999</v>
      </c>
      <c r="T56" s="51"/>
      <c r="U56" s="51"/>
    </row>
    <row r="57" spans="2:30" ht="15" x14ac:dyDescent="0.25">
      <c r="B57" s="11" t="s">
        <v>50</v>
      </c>
      <c r="C57" s="2" t="s">
        <v>33</v>
      </c>
      <c r="D57" s="2" t="s">
        <v>33</v>
      </c>
      <c r="E57" s="2" t="s">
        <v>33</v>
      </c>
      <c r="F57" s="5">
        <v>484.69900000000001</v>
      </c>
      <c r="G57" s="5">
        <v>528.904</v>
      </c>
      <c r="H57" s="5">
        <v>551.66499999999996</v>
      </c>
      <c r="I57" s="5">
        <v>550.11800000000005</v>
      </c>
      <c r="J57" s="5">
        <v>616.83399999999995</v>
      </c>
      <c r="K57" s="76">
        <v>724.35900000000004</v>
      </c>
      <c r="L57" s="76">
        <v>716.154</v>
      </c>
      <c r="M57" s="76">
        <v>960.92399999999998</v>
      </c>
      <c r="N57" s="5">
        <v>1095.2909999999999</v>
      </c>
      <c r="O57" s="275">
        <v>1123.3209999999999</v>
      </c>
      <c r="P57" s="9">
        <v>1149.346</v>
      </c>
      <c r="Q57" s="9">
        <v>1188.8150000000001</v>
      </c>
      <c r="R57" s="9">
        <v>1373.25</v>
      </c>
    </row>
    <row r="58" spans="2:30" ht="15" x14ac:dyDescent="0.25">
      <c r="B58" s="11" t="s">
        <v>51</v>
      </c>
      <c r="C58" s="2" t="s">
        <v>33</v>
      </c>
      <c r="D58" s="2" t="s">
        <v>33</v>
      </c>
      <c r="E58" s="2" t="s">
        <v>33</v>
      </c>
      <c r="F58" s="14" t="s">
        <v>33</v>
      </c>
      <c r="G58" s="5">
        <v>184.721</v>
      </c>
      <c r="H58" s="5">
        <v>206.376</v>
      </c>
      <c r="I58" s="5">
        <v>196.447</v>
      </c>
      <c r="J58" s="5">
        <v>194.61600000000001</v>
      </c>
      <c r="K58" s="76">
        <v>259.84100000000001</v>
      </c>
      <c r="L58" s="76">
        <v>399.77600000000001</v>
      </c>
      <c r="M58" s="76">
        <v>425.97300000000001</v>
      </c>
      <c r="N58" s="5">
        <v>494.59</v>
      </c>
      <c r="O58" s="275">
        <v>467.18700000000001</v>
      </c>
      <c r="P58" s="9">
        <v>641.66399999999999</v>
      </c>
      <c r="Q58" s="9">
        <v>629.75599999999997</v>
      </c>
      <c r="R58" s="9">
        <v>646.50599999999997</v>
      </c>
    </row>
    <row r="59" spans="2:30" s="1" customFormat="1" ht="15" x14ac:dyDescent="0.25">
      <c r="B59" s="1" t="s">
        <v>4</v>
      </c>
      <c r="C59" s="2" t="s">
        <v>33</v>
      </c>
      <c r="D59" s="2" t="s">
        <v>33</v>
      </c>
      <c r="E59" s="2" t="s">
        <v>33</v>
      </c>
      <c r="F59" s="4">
        <v>0</v>
      </c>
      <c r="G59" s="4">
        <v>0</v>
      </c>
      <c r="H59" s="4">
        <v>0</v>
      </c>
      <c r="I59" s="4">
        <v>0</v>
      </c>
      <c r="J59" s="4">
        <v>987.72299999999996</v>
      </c>
      <c r="K59" s="148">
        <v>988.03399999999999</v>
      </c>
      <c r="L59" s="148">
        <v>988.34500000000003</v>
      </c>
      <c r="M59" s="148">
        <v>988.66300000000001</v>
      </c>
      <c r="N59" s="4">
        <v>988.98400000000004</v>
      </c>
      <c r="O59" s="3">
        <v>989.30799999999999</v>
      </c>
      <c r="P59" s="3">
        <v>1004.335</v>
      </c>
      <c r="Q59" s="3">
        <v>1004.6660000000001</v>
      </c>
      <c r="R59" s="3">
        <v>1005</v>
      </c>
      <c r="T59" s="2"/>
      <c r="U59" s="2"/>
      <c r="V59" s="2"/>
      <c r="AD59" s="227"/>
    </row>
    <row r="60" spans="2:30" ht="15" x14ac:dyDescent="0.25">
      <c r="B60" s="11" t="s">
        <v>52</v>
      </c>
      <c r="C60" s="2" t="s">
        <v>33</v>
      </c>
      <c r="D60" s="2" t="s">
        <v>33</v>
      </c>
      <c r="E60" s="2" t="s">
        <v>33</v>
      </c>
      <c r="F60" s="5">
        <v>22.109000000000002</v>
      </c>
      <c r="G60" s="5">
        <v>0.505</v>
      </c>
      <c r="H60" s="5">
        <v>1.7</v>
      </c>
      <c r="I60" s="5">
        <v>2.2930000000000001</v>
      </c>
      <c r="J60" s="5">
        <v>1.4079999999999999</v>
      </c>
      <c r="K60" s="76">
        <v>1.4079999999999999</v>
      </c>
      <c r="L60" s="76">
        <v>1.2999999999999999E-4</v>
      </c>
      <c r="M60" s="76">
        <v>1.2999999999999999E-2</v>
      </c>
      <c r="N60" s="5">
        <v>10.752000000000001</v>
      </c>
      <c r="O60" s="275">
        <v>12.722</v>
      </c>
      <c r="P60" s="9">
        <v>13.039</v>
      </c>
      <c r="Q60" s="9">
        <v>15.904</v>
      </c>
      <c r="R60" s="9">
        <v>22.33</v>
      </c>
    </row>
    <row r="61" spans="2:30" ht="15" x14ac:dyDescent="0.25">
      <c r="B61" s="11" t="s">
        <v>53</v>
      </c>
      <c r="C61" s="2" t="s">
        <v>33</v>
      </c>
      <c r="D61" s="2" t="s">
        <v>33</v>
      </c>
      <c r="E61" s="2" t="s">
        <v>33</v>
      </c>
      <c r="F61" s="5">
        <f t="shared" ref="F61:R61" si="129">SUM(F53:F60)</f>
        <v>1735.354</v>
      </c>
      <c r="G61" s="5">
        <f t="shared" si="129"/>
        <v>2224.4850000000001</v>
      </c>
      <c r="H61" s="5">
        <f t="shared" si="129"/>
        <v>2531.752</v>
      </c>
      <c r="I61" s="5">
        <f t="shared" si="129"/>
        <v>2666.4490000000001</v>
      </c>
      <c r="J61" s="5">
        <f t="shared" si="129"/>
        <v>3967.6709999999998</v>
      </c>
      <c r="K61" s="5">
        <f t="shared" si="129"/>
        <v>4148.37</v>
      </c>
      <c r="L61" s="5">
        <f t="shared" si="129"/>
        <v>4367.8141299999997</v>
      </c>
      <c r="M61" s="5">
        <f t="shared" si="129"/>
        <v>4613.7309999999998</v>
      </c>
      <c r="N61" s="5">
        <f t="shared" si="129"/>
        <v>5070.4520000000011</v>
      </c>
      <c r="O61" s="5">
        <f t="shared" si="129"/>
        <v>5226.2779999999993</v>
      </c>
      <c r="P61" s="5">
        <f t="shared" si="129"/>
        <v>5435.0770000000002</v>
      </c>
      <c r="Q61" s="5">
        <f t="shared" si="129"/>
        <v>5634.2760000000007</v>
      </c>
      <c r="R61" s="5">
        <f t="shared" si="129"/>
        <v>6099.4520000000002</v>
      </c>
      <c r="S61" s="5"/>
      <c r="T61" s="5"/>
    </row>
    <row r="62" spans="2:30" ht="15" x14ac:dyDescent="0.25">
      <c r="C62" s="2"/>
      <c r="D62" s="2"/>
      <c r="E62" s="2"/>
      <c r="F62" s="5"/>
      <c r="G62" s="5"/>
      <c r="H62" s="5"/>
      <c r="I62" s="5"/>
      <c r="J62" s="5"/>
      <c r="K62" s="5"/>
      <c r="L62" s="5"/>
      <c r="M62" s="5"/>
      <c r="Q62" s="9"/>
    </row>
    <row r="63" spans="2:30" ht="15" x14ac:dyDescent="0.25">
      <c r="B63" s="11" t="s">
        <v>54</v>
      </c>
      <c r="C63" s="2" t="s">
        <v>33</v>
      </c>
      <c r="D63" s="2" t="s">
        <v>33</v>
      </c>
      <c r="E63" s="2" t="s">
        <v>33</v>
      </c>
      <c r="F63" s="5">
        <v>-232.381</v>
      </c>
      <c r="G63" s="5">
        <v>591.59400000000005</v>
      </c>
      <c r="H63" s="5">
        <v>542.03899999999999</v>
      </c>
      <c r="I63" s="5">
        <v>605.84</v>
      </c>
      <c r="J63" s="5">
        <v>592.923</v>
      </c>
      <c r="K63" s="76">
        <v>567.46100000000001</v>
      </c>
      <c r="L63" s="76">
        <v>551.59299999999996</v>
      </c>
      <c r="M63" s="76">
        <v>424.59300000000002</v>
      </c>
      <c r="N63" s="5">
        <v>305.03500000000003</v>
      </c>
      <c r="O63" s="275">
        <v>245.18199999999999</v>
      </c>
      <c r="P63" s="6">
        <v>164.2</v>
      </c>
      <c r="Q63" s="9">
        <v>119.854</v>
      </c>
      <c r="R63" s="9">
        <f>+R51-R61</f>
        <v>70.625999999999294</v>
      </c>
    </row>
    <row r="64" spans="2:30" ht="15" x14ac:dyDescent="0.25">
      <c r="B64" s="11" t="s">
        <v>55</v>
      </c>
      <c r="C64" s="2" t="s">
        <v>33</v>
      </c>
      <c r="D64" s="2" t="s">
        <v>33</v>
      </c>
      <c r="E64" s="2" t="s">
        <v>33</v>
      </c>
      <c r="F64" s="5">
        <v>1847.8</v>
      </c>
      <c r="G64" s="5">
        <f t="shared" ref="G64:R64" si="130">G63+G61</f>
        <v>2816.0790000000002</v>
      </c>
      <c r="H64" s="5">
        <f t="shared" si="130"/>
        <v>3073.7910000000002</v>
      </c>
      <c r="I64" s="5">
        <f t="shared" si="130"/>
        <v>3272.2890000000002</v>
      </c>
      <c r="J64" s="5">
        <f t="shared" si="130"/>
        <v>4560.5940000000001</v>
      </c>
      <c r="K64" s="5">
        <f t="shared" si="130"/>
        <v>4715.8310000000001</v>
      </c>
      <c r="L64" s="5">
        <f t="shared" si="130"/>
        <v>4919.4071299999996</v>
      </c>
      <c r="M64" s="5">
        <f t="shared" si="130"/>
        <v>5038.3239999999996</v>
      </c>
      <c r="N64" s="5">
        <f t="shared" si="130"/>
        <v>5375.487000000001</v>
      </c>
      <c r="O64" s="5">
        <f t="shared" si="130"/>
        <v>5471.4599999999991</v>
      </c>
      <c r="P64" s="5">
        <f t="shared" si="130"/>
        <v>5599.277</v>
      </c>
      <c r="Q64" s="5">
        <f t="shared" si="130"/>
        <v>5754.130000000001</v>
      </c>
      <c r="R64" s="5">
        <f t="shared" si="130"/>
        <v>6170.0779999999995</v>
      </c>
    </row>
    <row r="65" spans="2:30" x14ac:dyDescent="0.25">
      <c r="F65" s="5"/>
    </row>
    <row r="66" spans="2:30" x14ac:dyDescent="0.25">
      <c r="B66" s="167" t="s">
        <v>199</v>
      </c>
      <c r="F66" s="5">
        <f t="shared" ref="F66:K66" si="131">F51-F61</f>
        <v>112.44599999999991</v>
      </c>
      <c r="G66" s="5">
        <f t="shared" si="131"/>
        <v>591.5939999999996</v>
      </c>
      <c r="H66" s="5">
        <f t="shared" si="131"/>
        <v>542.03900000000021</v>
      </c>
      <c r="I66" s="5">
        <f t="shared" si="131"/>
        <v>605.83099999999968</v>
      </c>
      <c r="J66" s="5">
        <f t="shared" si="131"/>
        <v>592.92500000000064</v>
      </c>
      <c r="K66" s="5">
        <f t="shared" si="131"/>
        <v>567.46100000000115</v>
      </c>
      <c r="L66" s="5">
        <f>L51-L61</f>
        <v>551.60587000000123</v>
      </c>
      <c r="M66" s="5">
        <f t="shared" ref="M66:N66" si="132">M51-M61</f>
        <v>424.59200000000146</v>
      </c>
      <c r="N66" s="5">
        <f t="shared" si="132"/>
        <v>305.03499999999894</v>
      </c>
      <c r="O66" s="5">
        <f t="shared" ref="O66:P66" si="133">O51-O61</f>
        <v>245.1820000000007</v>
      </c>
      <c r="P66" s="5">
        <f t="shared" si="133"/>
        <v>164.20000000000073</v>
      </c>
      <c r="Q66" s="5">
        <f t="shared" ref="Q66:R66" si="134">Q51-Q61</f>
        <v>119.85399999999754</v>
      </c>
      <c r="R66" s="5">
        <f t="shared" si="134"/>
        <v>70.625999999999294</v>
      </c>
    </row>
    <row r="67" spans="2:30" s="179" customFormat="1" ht="15" x14ac:dyDescent="0.25">
      <c r="B67" s="179" t="s">
        <v>200</v>
      </c>
      <c r="C67" s="2" t="s">
        <v>33</v>
      </c>
      <c r="D67" s="2" t="s">
        <v>33</v>
      </c>
      <c r="E67" s="2" t="s">
        <v>33</v>
      </c>
      <c r="F67" s="180">
        <f t="shared" ref="F67:K67" si="135">F66/F20</f>
        <v>0.576205873460791</v>
      </c>
      <c r="G67" s="180">
        <f t="shared" si="135"/>
        <v>2.0324522286428865</v>
      </c>
      <c r="H67" s="180">
        <f t="shared" si="135"/>
        <v>0.94878172588832532</v>
      </c>
      <c r="I67" s="180">
        <f t="shared" si="135"/>
        <v>1.0519141148607816</v>
      </c>
      <c r="J67" s="180">
        <f t="shared" si="135"/>
        <v>1.0195860954198812</v>
      </c>
      <c r="K67" s="180">
        <f t="shared" si="135"/>
        <v>0.96421538058964962</v>
      </c>
      <c r="L67" s="180">
        <f>L66/L20</f>
        <v>0.92874198556054144</v>
      </c>
      <c r="M67" s="180">
        <f t="shared" ref="M67:N67" si="136">M66/M20</f>
        <v>0.71028256261929823</v>
      </c>
      <c r="N67" s="180">
        <f t="shared" si="136"/>
        <v>0.50682136513701537</v>
      </c>
      <c r="O67" s="180">
        <f t="shared" ref="O67:P67" si="137">O66/O20</f>
        <v>0.40416591800368379</v>
      </c>
      <c r="P67" s="180">
        <f t="shared" si="137"/>
        <v>0.26799893583857509</v>
      </c>
      <c r="Q67" s="180">
        <f t="shared" ref="Q67:R67" si="138">Q66/Q20</f>
        <v>0.1935157826753815</v>
      </c>
      <c r="R67" s="180">
        <f t="shared" si="138"/>
        <v>0.1126740340482139</v>
      </c>
      <c r="T67" s="180"/>
      <c r="U67" s="180"/>
      <c r="V67" s="180"/>
      <c r="AD67" s="228"/>
    </row>
    <row r="68" spans="2:30" s="179" customFormat="1" ht="15" x14ac:dyDescent="0.25">
      <c r="C68" s="2"/>
      <c r="D68" s="2"/>
      <c r="E68" s="2"/>
      <c r="F68" s="180"/>
      <c r="G68" s="180"/>
      <c r="H68" s="180"/>
      <c r="I68" s="180"/>
      <c r="J68" s="180"/>
      <c r="K68" s="180"/>
      <c r="L68" s="180"/>
      <c r="M68" s="180"/>
      <c r="N68" s="180"/>
      <c r="O68" s="274"/>
      <c r="T68" s="180"/>
      <c r="U68" s="180"/>
      <c r="V68" s="180"/>
      <c r="AD68" s="228"/>
    </row>
    <row r="69" spans="2:30" s="57" customFormat="1" x14ac:dyDescent="0.25">
      <c r="B69" s="57" t="s">
        <v>3</v>
      </c>
      <c r="C69" s="182"/>
      <c r="D69" s="182"/>
      <c r="E69" s="182"/>
      <c r="F69" s="183">
        <f t="shared" ref="F69:N69" si="139">+F40+F41+F45</f>
        <v>893.94299999999998</v>
      </c>
      <c r="G69" s="183">
        <f t="shared" si="139"/>
        <v>1600.53</v>
      </c>
      <c r="H69" s="183">
        <f t="shared" si="139"/>
        <v>1780.2619999999999</v>
      </c>
      <c r="I69" s="183">
        <f t="shared" si="139"/>
        <v>1925.559</v>
      </c>
      <c r="J69" s="183">
        <f t="shared" si="139"/>
        <v>3004.3</v>
      </c>
      <c r="K69" s="183">
        <f t="shared" si="139"/>
        <v>3132.9639999999999</v>
      </c>
      <c r="L69" s="183">
        <f t="shared" si="139"/>
        <v>3075.4749999999999</v>
      </c>
      <c r="M69" s="183">
        <f t="shared" si="139"/>
        <v>3021.5070000000001</v>
      </c>
      <c r="N69" s="183">
        <f t="shared" si="139"/>
        <v>2977.4740000000002</v>
      </c>
      <c r="O69" s="183">
        <f>+O40+O41+O45</f>
        <v>3091.92</v>
      </c>
      <c r="P69" s="183">
        <f t="shared" ref="P69:Q69" si="140">+P40+P41+P45</f>
        <v>3024.7629999999999</v>
      </c>
      <c r="Q69" s="183">
        <f t="shared" si="140"/>
        <v>3115.6019999999999</v>
      </c>
      <c r="R69" s="183">
        <f t="shared" ref="R69" si="141">+R40+R41+R45</f>
        <v>3236.6729999999998</v>
      </c>
      <c r="T69" s="55"/>
      <c r="U69" s="55"/>
      <c r="V69" s="55"/>
      <c r="AD69" s="131"/>
    </row>
    <row r="70" spans="2:30" s="57" customFormat="1" x14ac:dyDescent="0.25">
      <c r="B70" s="57" t="s">
        <v>4</v>
      </c>
      <c r="C70" s="182"/>
      <c r="D70" s="182"/>
      <c r="E70" s="182"/>
      <c r="F70" s="183">
        <f t="shared" ref="F70:N70" si="142">+F59</f>
        <v>0</v>
      </c>
      <c r="G70" s="183">
        <f t="shared" si="142"/>
        <v>0</v>
      </c>
      <c r="H70" s="183">
        <f t="shared" si="142"/>
        <v>0</v>
      </c>
      <c r="I70" s="183">
        <f t="shared" si="142"/>
        <v>0</v>
      </c>
      <c r="J70" s="183">
        <f t="shared" si="142"/>
        <v>987.72299999999996</v>
      </c>
      <c r="K70" s="183">
        <f t="shared" si="142"/>
        <v>988.03399999999999</v>
      </c>
      <c r="L70" s="183">
        <f t="shared" si="142"/>
        <v>988.34500000000003</v>
      </c>
      <c r="M70" s="183">
        <f t="shared" si="142"/>
        <v>988.66300000000001</v>
      </c>
      <c r="N70" s="183">
        <f t="shared" si="142"/>
        <v>988.98400000000004</v>
      </c>
      <c r="O70" s="183">
        <f>+O59</f>
        <v>989.30799999999999</v>
      </c>
      <c r="P70" s="183">
        <f t="shared" ref="P70:Q70" si="143">+P59</f>
        <v>1004.335</v>
      </c>
      <c r="Q70" s="183">
        <f t="shared" si="143"/>
        <v>1004.6660000000001</v>
      </c>
      <c r="R70" s="183">
        <f t="shared" ref="R70" si="144">+R59</f>
        <v>1005</v>
      </c>
      <c r="T70" s="55"/>
      <c r="U70" s="55"/>
      <c r="V70" s="55"/>
      <c r="AD70" s="131"/>
    </row>
    <row r="71" spans="2:30" x14ac:dyDescent="0.25">
      <c r="B71" s="181" t="s">
        <v>7</v>
      </c>
      <c r="F71" s="5">
        <f t="shared" ref="F71:N71" si="145">F69-F70</f>
        <v>893.94299999999998</v>
      </c>
      <c r="G71" s="5">
        <f t="shared" si="145"/>
        <v>1600.53</v>
      </c>
      <c r="H71" s="5">
        <f t="shared" si="145"/>
        <v>1780.2619999999999</v>
      </c>
      <c r="I71" s="5">
        <f t="shared" si="145"/>
        <v>1925.559</v>
      </c>
      <c r="J71" s="5">
        <f t="shared" si="145"/>
        <v>2016.5770000000002</v>
      </c>
      <c r="K71" s="5">
        <f t="shared" si="145"/>
        <v>2144.9299999999998</v>
      </c>
      <c r="L71" s="5">
        <f t="shared" si="145"/>
        <v>2087.13</v>
      </c>
      <c r="M71" s="5">
        <f t="shared" si="145"/>
        <v>2032.8440000000001</v>
      </c>
      <c r="N71" s="5">
        <f t="shared" si="145"/>
        <v>1988.4900000000002</v>
      </c>
      <c r="O71" s="5">
        <f t="shared" ref="O71:P71" si="146">O69-O70</f>
        <v>2102.6120000000001</v>
      </c>
      <c r="P71" s="5">
        <f t="shared" si="146"/>
        <v>2020.4279999999999</v>
      </c>
      <c r="Q71" s="5">
        <f t="shared" ref="Q71:R71" si="147">Q69-Q70</f>
        <v>2110.9359999999997</v>
      </c>
      <c r="R71" s="5">
        <f t="shared" si="147"/>
        <v>2231.6729999999998</v>
      </c>
    </row>
    <row r="73" spans="2:30" s="57" customFormat="1" x14ac:dyDescent="0.25">
      <c r="B73" s="57" t="s">
        <v>0</v>
      </c>
      <c r="C73" s="182"/>
      <c r="D73" s="182"/>
      <c r="E73" s="182"/>
      <c r="G73" s="55">
        <v>64.83</v>
      </c>
      <c r="H73" s="55">
        <v>89.98</v>
      </c>
      <c r="I73" s="55">
        <v>75.55</v>
      </c>
      <c r="J73" s="55">
        <v>103.16</v>
      </c>
      <c r="K73" s="55">
        <v>46.24</v>
      </c>
      <c r="L73" s="55">
        <v>32.86</v>
      </c>
      <c r="M73" s="55">
        <v>35.840000000000003</v>
      </c>
      <c r="N73" s="55">
        <v>28.37</v>
      </c>
      <c r="O73" s="274">
        <v>44.98</v>
      </c>
      <c r="P73" s="57">
        <v>40.299999999999997</v>
      </c>
      <c r="Q73" s="57">
        <v>28.96</v>
      </c>
      <c r="R73" s="57">
        <v>45.72</v>
      </c>
      <c r="T73" s="55"/>
      <c r="U73" s="55"/>
      <c r="V73" s="55"/>
      <c r="AD73" s="131"/>
    </row>
    <row r="74" spans="2:30" s="57" customFormat="1" x14ac:dyDescent="0.25">
      <c r="B74" s="57" t="s">
        <v>2</v>
      </c>
      <c r="C74" s="182"/>
      <c r="D74" s="182"/>
      <c r="E74" s="182"/>
      <c r="F74" s="55"/>
      <c r="G74" s="183">
        <f t="shared" ref="G74:I74" si="148">G73*G20</f>
        <v>18870.327420000001</v>
      </c>
      <c r="H74" s="183">
        <f t="shared" si="148"/>
        <v>51405.574000000001</v>
      </c>
      <c r="I74" s="183">
        <f t="shared" si="148"/>
        <v>43511.662599999996</v>
      </c>
      <c r="J74" s="183">
        <f>J73*J20</f>
        <v>59991.150599999994</v>
      </c>
      <c r="K74" s="183">
        <f t="shared" ref="K74:L74" si="149">K73*K20</f>
        <v>27213.211039999998</v>
      </c>
      <c r="L74" s="183">
        <f t="shared" si="149"/>
        <v>19516.47408</v>
      </c>
      <c r="M74" s="183">
        <f t="shared" ref="M74:N74" si="150">M73*M20</f>
        <v>21424.399360000003</v>
      </c>
      <c r="N74" s="183">
        <f t="shared" si="150"/>
        <v>17074.739830000002</v>
      </c>
      <c r="O74" s="183">
        <f t="shared" ref="O74:P74" si="151">O73*O20</f>
        <v>27286.532259999996</v>
      </c>
      <c r="P74" s="183">
        <f t="shared" si="151"/>
        <v>24691.366699999995</v>
      </c>
      <c r="Q74" s="183">
        <f t="shared" ref="Q74:R74" si="152">Q73*Q20</f>
        <v>17936.376</v>
      </c>
      <c r="R74" s="183">
        <f t="shared" si="152"/>
        <v>28658.073239999998</v>
      </c>
      <c r="T74" s="55"/>
      <c r="U74" s="55"/>
      <c r="V74" s="55"/>
      <c r="AD74" s="131"/>
    </row>
    <row r="75" spans="2:30" x14ac:dyDescent="0.25">
      <c r="B75" s="181" t="s">
        <v>5</v>
      </c>
      <c r="F75" s="5">
        <f t="shared" ref="F75:K75" si="153">F74-F71</f>
        <v>-893.94299999999998</v>
      </c>
      <c r="G75" s="5">
        <f t="shared" si="153"/>
        <v>17269.797420000003</v>
      </c>
      <c r="H75" s="5">
        <f t="shared" si="153"/>
        <v>49625.311999999998</v>
      </c>
      <c r="I75" s="5">
        <f t="shared" si="153"/>
        <v>41586.103599999995</v>
      </c>
      <c r="J75" s="5">
        <f t="shared" si="153"/>
        <v>57974.573599999996</v>
      </c>
      <c r="K75" s="5">
        <f t="shared" si="153"/>
        <v>25068.281039999998</v>
      </c>
      <c r="L75" s="5">
        <f>L74-L71</f>
        <v>17429.344079999999</v>
      </c>
      <c r="M75" s="5">
        <f t="shared" ref="M75:N75" si="154">M74-M71</f>
        <v>19391.555360000002</v>
      </c>
      <c r="N75" s="5">
        <f t="shared" si="154"/>
        <v>15086.249830000002</v>
      </c>
      <c r="O75" s="5">
        <f t="shared" ref="O75:P75" si="155">O74-O71</f>
        <v>25183.920259999995</v>
      </c>
      <c r="P75" s="5">
        <f t="shared" si="155"/>
        <v>22670.938699999995</v>
      </c>
      <c r="Q75" s="5">
        <f t="shared" ref="Q75:R75" si="156">Q74-Q71</f>
        <v>15825.44</v>
      </c>
      <c r="R75" s="5">
        <f t="shared" si="156"/>
        <v>26426.400239999999</v>
      </c>
    </row>
    <row r="77" spans="2:30" x14ac:dyDescent="0.25">
      <c r="B77" s="181" t="s">
        <v>204</v>
      </c>
      <c r="G77" s="189">
        <f t="shared" ref="G77:I77" si="157">G73/G67</f>
        <v>31.897428675747243</v>
      </c>
      <c r="H77" s="189">
        <f t="shared" si="157"/>
        <v>94.837408378363875</v>
      </c>
      <c r="I77" s="189">
        <f t="shared" si="157"/>
        <v>71.82145284741128</v>
      </c>
      <c r="J77" s="189">
        <f>J73/J67</f>
        <v>101.1783119281527</v>
      </c>
      <c r="K77" s="189">
        <f t="shared" ref="K77:L77" si="158">K73/K67</f>
        <v>47.956090444982024</v>
      </c>
      <c r="L77" s="189">
        <f t="shared" si="158"/>
        <v>35.381193604774282</v>
      </c>
      <c r="M77" s="189">
        <f t="shared" ref="M77:N77" si="159">M73/M67</f>
        <v>50.45879187549442</v>
      </c>
      <c r="N77" s="189">
        <f t="shared" si="159"/>
        <v>55.976330027701934</v>
      </c>
      <c r="O77" s="189">
        <f t="shared" ref="O77:P77" si="160">O73/O67</f>
        <v>111.29092780057231</v>
      </c>
      <c r="P77" s="189">
        <f t="shared" si="160"/>
        <v>150.37373142509068</v>
      </c>
      <c r="Q77" s="189">
        <f>Q73/Q67</f>
        <v>149.65187644968353</v>
      </c>
      <c r="R77" s="189">
        <f>R73/R67</f>
        <v>405.77228272874419</v>
      </c>
    </row>
    <row r="78" spans="2:30" x14ac:dyDescent="0.25">
      <c r="B78" s="181" t="s">
        <v>213</v>
      </c>
      <c r="G78" s="189">
        <f t="shared" ref="G78" si="161">G74/SUM(D3:G3)</f>
        <v>16.419103099215079</v>
      </c>
      <c r="H78" s="189">
        <f t="shared" ref="H78" si="162">H74/SUM(E3:H3)</f>
        <v>36.639779500911978</v>
      </c>
      <c r="I78" s="189">
        <f t="shared" ref="I78" si="163">I74/SUM(F3:I3)</f>
        <v>26.205198922441955</v>
      </c>
      <c r="J78" s="189">
        <f t="shared" ref="J78:K78" si="164">J74/SUM(G3:J3)</f>
        <v>31.25872473727074</v>
      </c>
      <c r="K78" s="189">
        <f t="shared" si="164"/>
        <v>13.150678086094159</v>
      </c>
      <c r="L78" s="189">
        <f>L74/SUM(I3:L3)</f>
        <v>8.8452081220206615</v>
      </c>
      <c r="M78" s="189">
        <f t="shared" ref="M78:P78" si="165">M74/SUM(J3:M3)</f>
        <v>9.6732142474976506</v>
      </c>
      <c r="N78" s="189">
        <f t="shared" si="165"/>
        <v>7.6738610288658444</v>
      </c>
      <c r="O78" s="189">
        <f t="shared" si="165"/>
        <v>11.644678341559755</v>
      </c>
      <c r="P78" s="189">
        <f t="shared" si="165"/>
        <v>10.149273908766817</v>
      </c>
      <c r="Q78" s="189">
        <f>Q74/SUM(N3:Q3)</f>
        <v>6.8242247290018527</v>
      </c>
      <c r="R78" s="189">
        <f t="shared" ref="R78" si="166">R74/SUM(O3:R3)</f>
        <v>10.237680641480612</v>
      </c>
    </row>
    <row r="79" spans="2:30" x14ac:dyDescent="0.25">
      <c r="B79" s="196" t="s">
        <v>218</v>
      </c>
      <c r="G79" s="189">
        <f t="shared" ref="G79" si="167">G75/SUM(D3:G3)</f>
        <v>15.026479298976499</v>
      </c>
      <c r="H79" s="189">
        <f t="shared" ref="H79" si="168">H75/SUM(E3:H3)</f>
        <v>35.370881946458979</v>
      </c>
      <c r="I79" s="189">
        <f t="shared" ref="I79" si="169">I75/SUM(F3:I3)</f>
        <v>25.045517733153215</v>
      </c>
      <c r="J79" s="189">
        <f t="shared" ref="J79:K79" si="170">J75/SUM(G3:J3)</f>
        <v>30.207976006431906</v>
      </c>
      <c r="K79" s="189">
        <f t="shared" si="170"/>
        <v>12.114149030197565</v>
      </c>
      <c r="L79" s="189">
        <f>L75/SUM(I3:L3)</f>
        <v>7.8992842244949566</v>
      </c>
      <c r="M79" s="189">
        <f t="shared" ref="M79:P79" si="171">M75/SUM(J3:M3)</f>
        <v>8.7553758888431883</v>
      </c>
      <c r="N79" s="189">
        <f t="shared" si="171"/>
        <v>6.7801785441418918</v>
      </c>
      <c r="O79" s="189">
        <f t="shared" si="171"/>
        <v>10.747377058135195</v>
      </c>
      <c r="P79" s="189">
        <f t="shared" si="171"/>
        <v>9.318786174568535</v>
      </c>
      <c r="Q79" s="189">
        <f>Q75/SUM(N3:Q3)</f>
        <v>6.0210802335619569</v>
      </c>
      <c r="R79" s="189">
        <f t="shared" ref="R79" si="172">R75/SUM(O3:R3)</f>
        <v>9.440447858980578</v>
      </c>
    </row>
    <row r="80" spans="2:30" x14ac:dyDescent="0.25">
      <c r="B80" s="181" t="s">
        <v>214</v>
      </c>
      <c r="G80" s="189">
        <f t="shared" ref="G80:P80" si="173">G73/SUM(D19:G19)</f>
        <v>-44.675361443232362</v>
      </c>
      <c r="H80" s="189">
        <f t="shared" si="173"/>
        <v>-69.182197616608946</v>
      </c>
      <c r="I80" s="189">
        <f t="shared" si="173"/>
        <v>-65.015776279415363</v>
      </c>
      <c r="J80" s="189">
        <f t="shared" si="173"/>
        <v>-93.354276916433804</v>
      </c>
      <c r="K80" s="189">
        <f t="shared" si="173"/>
        <v>-50.661466911577669</v>
      </c>
      <c r="L80" s="189">
        <f t="shared" si="173"/>
        <v>-34.073155589366579</v>
      </c>
      <c r="M80" s="189">
        <f t="shared" si="173"/>
        <v>-26.838223427392109</v>
      </c>
      <c r="N80" s="189">
        <f t="shared" si="173"/>
        <v>-18.110490695810771</v>
      </c>
      <c r="O80" s="189">
        <f t="shared" si="173"/>
        <v>-25.90700623411449</v>
      </c>
      <c r="P80" s="189">
        <f t="shared" si="173"/>
        <v>-21.21899894662964</v>
      </c>
      <c r="Q80" s="189">
        <f>Q73/SUM(N19:Q19)</f>
        <v>-15.701888632244565</v>
      </c>
      <c r="R80" s="189">
        <f t="shared" ref="R80" si="174">R73/SUM(O19:R19)</f>
        <v>-24.330908086223079</v>
      </c>
      <c r="S80" s="206"/>
    </row>
    <row r="81" spans="2:30" x14ac:dyDescent="0.25">
      <c r="B81" s="206" t="s">
        <v>253</v>
      </c>
      <c r="G81" s="80">
        <f t="shared" ref="G81:L81" si="175">SUM(D12:G12)/(G51-SUM(G53:G56))</f>
        <v>-0.25137548210801064</v>
      </c>
      <c r="H81" s="80">
        <f t="shared" si="175"/>
        <v>-0.30583278280508219</v>
      </c>
      <c r="I81" s="80">
        <f t="shared" si="175"/>
        <v>-0.31302756573649004</v>
      </c>
      <c r="J81" s="80">
        <f t="shared" si="175"/>
        <v>-0.20685053640976875</v>
      </c>
      <c r="K81" s="80">
        <f t="shared" si="175"/>
        <v>-0.2013507520159552</v>
      </c>
      <c r="L81" s="80">
        <f t="shared" si="175"/>
        <v>-0.20293605022212965</v>
      </c>
      <c r="M81" s="80">
        <f t="shared" ref="M81" si="176">SUM(J12:M12)/(M51-SUM(M53:M56))</f>
        <v>-0.27196075945524634</v>
      </c>
      <c r="N81" s="80">
        <f t="shared" ref="N81" si="177">SUM(K12:N12)/(N51-SUM(N53:N56))</f>
        <v>-0.31913473536715303</v>
      </c>
      <c r="O81" s="80">
        <f t="shared" ref="O81" si="178">SUM(L12:O12)/(O51-SUM(O53:O56))</f>
        <v>-0.37425115938147524</v>
      </c>
      <c r="P81" s="80">
        <f t="shared" ref="P81" si="179">SUM(M12:P12)/(P51-SUM(P53:P56))</f>
        <v>-0.40562083359124573</v>
      </c>
      <c r="Q81" s="80">
        <f t="shared" ref="Q81" si="180">SUM(N12:Q12)/(Q51-SUM(Q53:Q56))</f>
        <v>-0.40749409850303925</v>
      </c>
      <c r="R81" s="80">
        <f t="shared" ref="R81" si="181">SUM(O12:R12)/(R51-SUM(R53:R56))</f>
        <v>-0.40384326711383228</v>
      </c>
      <c r="S81" s="206"/>
    </row>
    <row r="82" spans="2:30" x14ac:dyDescent="0.25">
      <c r="B82" s="264" t="s">
        <v>318</v>
      </c>
      <c r="F82" s="189"/>
      <c r="G82" s="189">
        <f t="shared" ref="G82:L82" si="182">G75/SUM(D34:G34)</f>
        <v>7.5570912427732031</v>
      </c>
      <c r="H82" s="189">
        <f t="shared" si="182"/>
        <v>20.201197368833483</v>
      </c>
      <c r="I82" s="189">
        <f t="shared" si="182"/>
        <v>16.007578271843308</v>
      </c>
      <c r="J82" s="189">
        <f t="shared" si="182"/>
        <v>21.269562307893807</v>
      </c>
      <c r="K82" s="189">
        <f t="shared" si="182"/>
        <v>9.268637372510522</v>
      </c>
      <c r="L82" s="189">
        <f t="shared" si="182"/>
        <v>6.5057757561709204</v>
      </c>
      <c r="M82" s="189">
        <f t="shared" ref="M82" si="183">M75/SUM(J34:M34)</f>
        <v>7.0696655685684338</v>
      </c>
      <c r="N82" s="189">
        <f t="shared" ref="N82" si="184">N75/SUM(K34:N34)</f>
        <v>5.2524921001543072</v>
      </c>
      <c r="O82" s="189">
        <f t="shared" ref="O82" si="185">O75/SUM(L34:O34)</f>
        <v>8.3534242912138179</v>
      </c>
      <c r="P82" s="189">
        <f t="shared" ref="P82" si="186">P75/SUM(M34:P34)</f>
        <v>7.1843512168842691</v>
      </c>
      <c r="Q82" s="189">
        <f t="shared" ref="Q82" si="187">Q75/SUM(N34:Q34)</f>
        <v>4.8051982753385563</v>
      </c>
      <c r="R82" s="189">
        <f t="shared" ref="R82" si="188">R75/SUM(O34:R34)</f>
        <v>7.505747305600794</v>
      </c>
      <c r="S82" s="206"/>
    </row>
    <row r="83" spans="2:30" x14ac:dyDescent="0.25">
      <c r="B83" s="206"/>
      <c r="G83" s="80"/>
      <c r="H83" s="80"/>
      <c r="I83" s="80"/>
      <c r="J83" s="80"/>
      <c r="K83" s="80"/>
      <c r="L83" s="80"/>
      <c r="M83" s="80"/>
      <c r="P83" s="206"/>
      <c r="Q83" s="206"/>
      <c r="R83" s="206"/>
      <c r="S83" s="206"/>
    </row>
    <row r="84" spans="2:30" x14ac:dyDescent="0.25">
      <c r="B84" s="206"/>
      <c r="G84" s="80"/>
      <c r="H84" s="80"/>
      <c r="I84" s="80"/>
      <c r="J84" s="80"/>
      <c r="K84" s="80"/>
      <c r="L84" s="80"/>
      <c r="M84" s="80"/>
      <c r="P84" s="206"/>
      <c r="Q84" s="206"/>
      <c r="R84" s="206"/>
      <c r="S84" s="206"/>
    </row>
    <row r="85" spans="2:30" s="9" customFormat="1" x14ac:dyDescent="0.25">
      <c r="B85" s="208" t="s">
        <v>272</v>
      </c>
      <c r="C85" s="209"/>
      <c r="D85" s="209"/>
      <c r="E85" s="209"/>
      <c r="F85" s="5"/>
      <c r="G85" s="5"/>
      <c r="H85" s="5">
        <f>H18</f>
        <v>-142.93999999999997</v>
      </c>
      <c r="I85" s="5">
        <f>I18</f>
        <v>-77.189999999999955</v>
      </c>
      <c r="J85" s="5">
        <f t="shared" ref="J85:L85" si="189">J18</f>
        <v>-147.25700000000003</v>
      </c>
      <c r="K85" s="5">
        <f t="shared" si="189"/>
        <v>-162.00600000000003</v>
      </c>
      <c r="L85" s="5">
        <f t="shared" si="189"/>
        <v>-179.29000000000002</v>
      </c>
      <c r="M85" s="5">
        <f>M18</f>
        <v>-301.90200000000004</v>
      </c>
      <c r="N85" s="5">
        <f>N18</f>
        <v>-291.48500000000001</v>
      </c>
      <c r="O85" s="5">
        <f>O18</f>
        <v>-269.94799999999987</v>
      </c>
      <c r="P85" s="5">
        <f t="shared" ref="P85:Q85" si="190">P18</f>
        <v>-284.84100000000007</v>
      </c>
      <c r="Q85" s="5">
        <f t="shared" si="190"/>
        <v>-278.80800000000005</v>
      </c>
      <c r="R85" s="5">
        <f t="shared" ref="R85" si="191">R18</f>
        <v>-325.34000000000009</v>
      </c>
      <c r="S85" s="210"/>
      <c r="T85" s="5"/>
      <c r="U85" s="5"/>
      <c r="V85" s="5"/>
      <c r="AD85" s="114"/>
    </row>
    <row r="86" spans="2:30" s="9" customFormat="1" x14ac:dyDescent="0.25">
      <c r="B86" s="208" t="s">
        <v>273</v>
      </c>
      <c r="C86" s="209"/>
      <c r="D86" s="209"/>
      <c r="E86" s="209"/>
      <c r="F86" s="5"/>
      <c r="G86" s="5"/>
      <c r="H86" s="5">
        <v>-142.93</v>
      </c>
      <c r="I86" s="5">
        <v>-77.19</v>
      </c>
      <c r="J86" s="5"/>
      <c r="K86" s="5"/>
      <c r="L86" s="5">
        <v>-178.73400000000001</v>
      </c>
      <c r="M86" s="5">
        <v>-301.90199999999999</v>
      </c>
      <c r="N86" s="5">
        <v>-291.48649999999998</v>
      </c>
      <c r="O86" s="275">
        <v>-269.94799999999998</v>
      </c>
      <c r="P86" s="210">
        <f>P85</f>
        <v>-284.84100000000007</v>
      </c>
      <c r="Q86" s="210">
        <f t="shared" ref="Q86:R86" si="192">Q85</f>
        <v>-278.80800000000005</v>
      </c>
      <c r="R86" s="210">
        <f t="shared" si="192"/>
        <v>-325.34000000000009</v>
      </c>
      <c r="S86" s="210"/>
      <c r="T86" s="5"/>
      <c r="U86" s="5"/>
      <c r="V86" s="5"/>
      <c r="AD86" s="114"/>
    </row>
    <row r="87" spans="2:30" s="9" customFormat="1" x14ac:dyDescent="0.25">
      <c r="B87" s="211"/>
      <c r="C87" s="209"/>
      <c r="D87" s="209"/>
      <c r="E87" s="209"/>
      <c r="F87" s="5"/>
      <c r="G87" s="5"/>
      <c r="H87" s="5"/>
      <c r="I87" s="5"/>
      <c r="J87" s="5"/>
      <c r="K87" s="5"/>
      <c r="L87" s="5"/>
      <c r="M87" s="5"/>
      <c r="N87" s="5"/>
      <c r="O87" s="275"/>
      <c r="T87" s="5"/>
      <c r="U87" s="5"/>
      <c r="V87" s="5"/>
      <c r="AD87" s="114"/>
    </row>
    <row r="88" spans="2:30" s="9" customFormat="1" x14ac:dyDescent="0.25">
      <c r="B88" s="212" t="s">
        <v>252</v>
      </c>
      <c r="C88" s="209"/>
      <c r="D88" s="209"/>
      <c r="E88" s="209"/>
      <c r="F88" s="5"/>
      <c r="G88" s="5"/>
      <c r="H88" s="5"/>
      <c r="I88" s="5"/>
      <c r="J88" s="5"/>
      <c r="K88" s="5"/>
      <c r="L88" s="5"/>
      <c r="M88" s="5"/>
      <c r="N88" s="5"/>
      <c r="O88" s="275"/>
      <c r="T88" s="5"/>
      <c r="U88" s="5"/>
      <c r="V88" s="5"/>
      <c r="AD88" s="114"/>
    </row>
    <row r="89" spans="2:30" s="9" customFormat="1" x14ac:dyDescent="0.25">
      <c r="B89" s="213" t="s">
        <v>254</v>
      </c>
      <c r="C89" s="209"/>
      <c r="D89" s="209"/>
      <c r="E89" s="209"/>
      <c r="F89" s="5"/>
      <c r="G89" s="5"/>
      <c r="H89" s="5">
        <v>17.79</v>
      </c>
      <c r="I89" s="5">
        <v>19.029</v>
      </c>
      <c r="J89" s="5"/>
      <c r="K89" s="5"/>
      <c r="L89" s="5">
        <v>28.995999999999999</v>
      </c>
      <c r="M89" s="5">
        <v>34.052</v>
      </c>
      <c r="N89" s="5">
        <v>42.537999999999997</v>
      </c>
      <c r="O89" s="275">
        <v>47.411999999999999</v>
      </c>
      <c r="P89" s="9">
        <v>100.011</v>
      </c>
      <c r="Q89" s="9">
        <v>153.61099999999999</v>
      </c>
      <c r="R89" s="9">
        <v>54.530999999999999</v>
      </c>
      <c r="T89" s="5"/>
      <c r="U89" s="5"/>
      <c r="V89" s="5"/>
      <c r="AD89" s="114"/>
    </row>
    <row r="90" spans="2:30" s="9" customFormat="1" x14ac:dyDescent="0.25">
      <c r="B90" s="213" t="s">
        <v>255</v>
      </c>
      <c r="C90" s="209"/>
      <c r="D90" s="209"/>
      <c r="E90" s="209"/>
      <c r="F90" s="5"/>
      <c r="G90" s="5"/>
      <c r="H90" s="5">
        <v>81.659000000000006</v>
      </c>
      <c r="I90" s="5">
        <v>89.319000000000003</v>
      </c>
      <c r="J90" s="5"/>
      <c r="K90" s="5"/>
      <c r="L90" s="5">
        <v>146.38800000000001</v>
      </c>
      <c r="M90" s="5">
        <v>161.35900000000001</v>
      </c>
      <c r="N90" s="5">
        <v>169.45599999999999</v>
      </c>
      <c r="O90" s="275">
        <v>184.904</v>
      </c>
      <c r="P90" s="9">
        <v>397.26600000000002</v>
      </c>
      <c r="Q90" s="9">
        <v>617.28800000000001</v>
      </c>
      <c r="R90" s="9">
        <v>250.679</v>
      </c>
      <c r="T90" s="5"/>
      <c r="U90" s="5"/>
      <c r="V90" s="5"/>
      <c r="AD90" s="114"/>
    </row>
    <row r="91" spans="2:30" s="9" customFormat="1" x14ac:dyDescent="0.25">
      <c r="B91" s="213" t="s">
        <v>257</v>
      </c>
      <c r="C91" s="209"/>
      <c r="D91" s="209"/>
      <c r="E91" s="209"/>
      <c r="F91" s="5"/>
      <c r="G91" s="5"/>
      <c r="H91" s="5">
        <v>10.5</v>
      </c>
      <c r="I91" s="5">
        <v>11.391999999999999</v>
      </c>
      <c r="J91" s="5"/>
      <c r="K91" s="5"/>
      <c r="L91" s="5">
        <v>16.303000000000001</v>
      </c>
      <c r="M91" s="5">
        <v>18.815000000000001</v>
      </c>
      <c r="N91" s="5">
        <v>19.984999999999999</v>
      </c>
      <c r="O91" s="275">
        <v>21.244</v>
      </c>
      <c r="P91" s="9">
        <v>44.753</v>
      </c>
      <c r="Q91" s="9">
        <v>70.801000000000002</v>
      </c>
      <c r="R91" s="9">
        <v>26.262</v>
      </c>
      <c r="T91" s="5"/>
      <c r="U91" s="5"/>
      <c r="V91" s="5"/>
      <c r="AD91" s="114"/>
    </row>
    <row r="92" spans="2:30" s="9" customFormat="1" x14ac:dyDescent="0.25">
      <c r="B92" s="275" t="s">
        <v>324</v>
      </c>
      <c r="C92" s="209"/>
      <c r="D92" s="209"/>
      <c r="E92" s="209"/>
      <c r="F92" s="5"/>
      <c r="G92" s="5"/>
      <c r="H92" s="5">
        <v>0</v>
      </c>
      <c r="I92" s="5">
        <v>0</v>
      </c>
      <c r="J92" s="5"/>
      <c r="K92" s="5"/>
      <c r="L92" s="5">
        <v>0</v>
      </c>
      <c r="M92" s="5">
        <v>0</v>
      </c>
      <c r="N92" s="5">
        <v>0</v>
      </c>
      <c r="O92" s="275">
        <v>-12.122</v>
      </c>
      <c r="P92" s="9">
        <v>-31.745000000000001</v>
      </c>
      <c r="Q92" s="9">
        <v>-52.219000000000001</v>
      </c>
      <c r="R92" s="9">
        <v>-20.943000000000001</v>
      </c>
      <c r="T92" s="5"/>
      <c r="U92" s="5"/>
      <c r="V92" s="5"/>
      <c r="AD92" s="114"/>
    </row>
    <row r="93" spans="2:30" s="9" customFormat="1" x14ac:dyDescent="0.25">
      <c r="B93" s="213" t="s">
        <v>256</v>
      </c>
      <c r="C93" s="209"/>
      <c r="D93" s="209"/>
      <c r="E93" s="209"/>
      <c r="F93" s="5"/>
      <c r="G93" s="5"/>
      <c r="H93" s="5">
        <v>6.8000000000000005E-2</v>
      </c>
      <c r="I93" s="5">
        <v>1.121</v>
      </c>
      <c r="J93" s="5"/>
      <c r="K93" s="5"/>
      <c r="L93" s="5">
        <v>2.048</v>
      </c>
      <c r="M93" s="5">
        <v>-1.5149999999999999</v>
      </c>
      <c r="N93" s="5">
        <v>0.39500000000000002</v>
      </c>
      <c r="O93" s="275">
        <v>0</v>
      </c>
      <c r="P93" s="9">
        <v>0</v>
      </c>
      <c r="Q93" s="9">
        <v>0</v>
      </c>
      <c r="R93" s="9">
        <v>0</v>
      </c>
      <c r="T93" s="5"/>
      <c r="U93" s="5"/>
      <c r="V93" s="5"/>
      <c r="AD93" s="114"/>
    </row>
    <row r="94" spans="2:30" s="9" customFormat="1" x14ac:dyDescent="0.25">
      <c r="B94" s="213" t="s">
        <v>258</v>
      </c>
      <c r="C94" s="209"/>
      <c r="D94" s="209"/>
      <c r="E94" s="209"/>
      <c r="F94" s="5"/>
      <c r="G94" s="5"/>
      <c r="H94" s="5">
        <v>0</v>
      </c>
      <c r="I94" s="5">
        <v>0</v>
      </c>
      <c r="J94" s="5"/>
      <c r="K94" s="5"/>
      <c r="L94" s="5">
        <v>0.311</v>
      </c>
      <c r="M94" s="5">
        <v>0.318</v>
      </c>
      <c r="N94" s="5">
        <v>0.32100000000000001</v>
      </c>
      <c r="O94" s="275">
        <v>0.32400000000000001</v>
      </c>
      <c r="P94" s="9">
        <v>0.65100000000000002</v>
      </c>
      <c r="Q94" s="9">
        <v>0.98199999999999998</v>
      </c>
      <c r="R94" s="9">
        <v>0</v>
      </c>
      <c r="T94" s="5"/>
      <c r="U94" s="5"/>
      <c r="V94" s="5"/>
      <c r="AD94" s="114"/>
    </row>
    <row r="95" spans="2:30" s="9" customFormat="1" x14ac:dyDescent="0.25">
      <c r="B95" s="275" t="s">
        <v>325</v>
      </c>
      <c r="C95" s="209"/>
      <c r="D95" s="209"/>
      <c r="E95" s="209"/>
      <c r="F95" s="5"/>
      <c r="G95" s="5"/>
      <c r="H95" s="5">
        <v>0</v>
      </c>
      <c r="I95" s="5">
        <v>0</v>
      </c>
      <c r="J95" s="5"/>
      <c r="K95" s="5"/>
      <c r="L95" s="5">
        <v>0</v>
      </c>
      <c r="M95" s="5">
        <v>0</v>
      </c>
      <c r="N95" s="5">
        <v>0</v>
      </c>
      <c r="O95" s="275">
        <v>8.2360000000000007</v>
      </c>
      <c r="P95" s="9">
        <v>6.1689999999999996</v>
      </c>
      <c r="Q95" s="9">
        <v>7.7469999999999999</v>
      </c>
      <c r="R95" s="9">
        <v>1.222</v>
      </c>
      <c r="T95" s="5"/>
      <c r="U95" s="5"/>
      <c r="V95" s="5"/>
      <c r="AD95" s="114"/>
    </row>
    <row r="96" spans="2:30" s="9" customFormat="1" x14ac:dyDescent="0.25">
      <c r="B96" s="213" t="s">
        <v>259</v>
      </c>
      <c r="C96" s="209"/>
      <c r="D96" s="209"/>
      <c r="E96" s="209"/>
      <c r="F96" s="5"/>
      <c r="G96" s="5"/>
      <c r="H96" s="9">
        <f>SUM(H97:H106)</f>
        <v>224.16400000000004</v>
      </c>
      <c r="I96" s="9">
        <f>SUM(I97:I106)</f>
        <v>137.49499999999998</v>
      </c>
      <c r="J96" s="5"/>
      <c r="K96" s="5"/>
      <c r="L96" s="9">
        <f t="shared" ref="L96:R96" si="193">SUM(L97:L106)</f>
        <v>11.184999999999997</v>
      </c>
      <c r="M96" s="9">
        <f t="shared" si="193"/>
        <v>156.023</v>
      </c>
      <c r="N96" s="9">
        <f t="shared" si="193"/>
        <v>207.78100000000003</v>
      </c>
      <c r="O96" s="9">
        <f t="shared" si="193"/>
        <v>193.73099999999999</v>
      </c>
      <c r="P96" s="9">
        <f t="shared" si="193"/>
        <v>239.85499999999999</v>
      </c>
      <c r="Q96" s="9">
        <f t="shared" si="193"/>
        <v>350.262</v>
      </c>
      <c r="R96" s="9">
        <f t="shared" si="193"/>
        <v>631.73</v>
      </c>
      <c r="T96" s="5"/>
      <c r="U96" s="5"/>
      <c r="V96" s="5"/>
      <c r="AD96" s="114"/>
    </row>
    <row r="97" spans="2:30" s="9" customFormat="1" x14ac:dyDescent="0.25">
      <c r="B97" s="208" t="s">
        <v>37</v>
      </c>
      <c r="C97" s="209"/>
      <c r="D97" s="209"/>
      <c r="E97" s="209"/>
      <c r="F97" s="5"/>
      <c r="G97" s="5"/>
      <c r="H97" s="5">
        <v>16.704000000000001</v>
      </c>
      <c r="I97" s="5">
        <v>47.125999999999998</v>
      </c>
      <c r="J97" s="5"/>
      <c r="K97" s="5"/>
      <c r="L97" s="5">
        <v>-9.8650000000000002</v>
      </c>
      <c r="M97" s="5">
        <v>1.63</v>
      </c>
      <c r="N97" s="231">
        <v>-192.42699999999999</v>
      </c>
      <c r="O97" s="275">
        <v>113.193</v>
      </c>
      <c r="P97" s="9">
        <v>122.628</v>
      </c>
      <c r="Q97" s="9">
        <v>93.174000000000007</v>
      </c>
      <c r="R97" s="9">
        <v>219.346</v>
      </c>
      <c r="T97" s="5"/>
      <c r="U97" s="5"/>
      <c r="V97" s="5"/>
      <c r="AD97" s="114"/>
    </row>
    <row r="98" spans="2:30" s="9" customFormat="1" x14ac:dyDescent="0.25">
      <c r="B98" s="208" t="s">
        <v>46</v>
      </c>
      <c r="C98" s="209"/>
      <c r="D98" s="209"/>
      <c r="E98" s="209"/>
      <c r="F98" s="5"/>
      <c r="G98" s="5"/>
      <c r="H98" s="5">
        <v>3.0950000000000002</v>
      </c>
      <c r="I98" s="5">
        <v>-2.5430000000000001</v>
      </c>
      <c r="J98" s="5"/>
      <c r="K98" s="5"/>
      <c r="L98" s="5">
        <v>-6.867</v>
      </c>
      <c r="M98" s="5">
        <v>2.3039999999999998</v>
      </c>
      <c r="N98" s="5">
        <v>18.632999999999999</v>
      </c>
      <c r="O98" s="275">
        <v>18.306999999999999</v>
      </c>
      <c r="P98" s="9">
        <v>1.5760000000000001</v>
      </c>
      <c r="Q98" s="9">
        <v>3.855</v>
      </c>
      <c r="R98" s="9">
        <v>7.33</v>
      </c>
      <c r="T98" s="5"/>
      <c r="U98" s="5"/>
      <c r="V98" s="5"/>
      <c r="AD98" s="114"/>
    </row>
    <row r="99" spans="2:30" s="9" customFormat="1" x14ac:dyDescent="0.25">
      <c r="B99" s="208" t="s">
        <v>274</v>
      </c>
      <c r="C99" s="209"/>
      <c r="D99" s="209"/>
      <c r="E99" s="209"/>
      <c r="F99" s="5"/>
      <c r="G99" s="5"/>
      <c r="H99" s="5">
        <v>-16.297000000000001</v>
      </c>
      <c r="I99" s="5">
        <v>7.7629999999999999</v>
      </c>
      <c r="J99" s="5"/>
      <c r="K99" s="5"/>
      <c r="L99" s="5">
        <v>-15.983000000000001</v>
      </c>
      <c r="M99" s="5">
        <v>-15.680999999999999</v>
      </c>
      <c r="N99" s="5">
        <v>8.8350000000000009</v>
      </c>
      <c r="O99" s="275">
        <v>-8.359</v>
      </c>
      <c r="P99" s="9">
        <v>-6.1589999999999998</v>
      </c>
      <c r="Q99" s="9">
        <v>-1.861</v>
      </c>
      <c r="R99" s="9">
        <v>10.909000000000001</v>
      </c>
      <c r="T99" s="5"/>
      <c r="U99" s="5"/>
      <c r="V99" s="5"/>
      <c r="AD99" s="114"/>
    </row>
    <row r="100" spans="2:30" s="9" customFormat="1" x14ac:dyDescent="0.25">
      <c r="B100" s="208" t="s">
        <v>275</v>
      </c>
      <c r="C100" s="209"/>
      <c r="D100" s="209"/>
      <c r="E100" s="209"/>
      <c r="F100" s="5"/>
      <c r="G100" s="5"/>
      <c r="H100" s="5">
        <v>-3.0750000000000002</v>
      </c>
      <c r="I100" s="5">
        <v>2.2879999999999998</v>
      </c>
      <c r="J100" s="5"/>
      <c r="K100" s="5"/>
      <c r="L100" s="5">
        <v>1.1990000000000001</v>
      </c>
      <c r="M100" s="9">
        <v>-0.26600000000000001</v>
      </c>
      <c r="N100" s="5">
        <v>-1.7190000000000001</v>
      </c>
      <c r="O100" s="275">
        <v>-2.1579999999999999</v>
      </c>
      <c r="P100" s="9">
        <v>-6.6909999999999998</v>
      </c>
      <c r="Q100" s="9">
        <v>-6.1890000000000001</v>
      </c>
      <c r="R100" s="9">
        <v>0.22800000000000001</v>
      </c>
      <c r="T100" s="5"/>
      <c r="U100" s="5"/>
      <c r="V100" s="5"/>
      <c r="AD100" s="114"/>
    </row>
    <row r="101" spans="2:30" s="9" customFormat="1" x14ac:dyDescent="0.25">
      <c r="B101" s="208" t="s">
        <v>48</v>
      </c>
      <c r="C101" s="209"/>
      <c r="D101" s="209"/>
      <c r="E101" s="209"/>
      <c r="F101" s="5"/>
      <c r="G101" s="5"/>
      <c r="H101" s="5">
        <v>6.2779999999999996</v>
      </c>
      <c r="I101" s="5">
        <v>27.140999999999998</v>
      </c>
      <c r="J101" s="5"/>
      <c r="K101" s="5"/>
      <c r="L101" s="5">
        <v>-2.6240000000000001</v>
      </c>
      <c r="M101" s="5">
        <v>21.175000000000001</v>
      </c>
      <c r="N101" s="5">
        <v>63.337000000000003</v>
      </c>
      <c r="O101" s="275">
        <v>-3.8650000000000002</v>
      </c>
      <c r="P101" s="9">
        <v>-11.156000000000001</v>
      </c>
      <c r="Q101" s="9">
        <v>7.7240000000000002</v>
      </c>
      <c r="R101" s="9">
        <v>75.438000000000002</v>
      </c>
      <c r="T101" s="5"/>
      <c r="U101" s="5"/>
      <c r="V101" s="5"/>
      <c r="AD101" s="114"/>
    </row>
    <row r="102" spans="2:30" s="9" customFormat="1" x14ac:dyDescent="0.25">
      <c r="B102" s="208" t="s">
        <v>276</v>
      </c>
      <c r="C102" s="209"/>
      <c r="D102" s="209"/>
      <c r="E102" s="209"/>
      <c r="F102" s="5"/>
      <c r="G102" s="5"/>
      <c r="H102" s="5">
        <v>57.856000000000002</v>
      </c>
      <c r="I102" s="5">
        <v>-36.030999999999999</v>
      </c>
      <c r="J102" s="5"/>
      <c r="K102" s="5"/>
      <c r="L102" s="5">
        <v>6.4059999999999997</v>
      </c>
      <c r="M102" s="5">
        <v>2.6419999999999999</v>
      </c>
      <c r="N102" s="5">
        <v>12.577999999999999</v>
      </c>
      <c r="O102" s="275">
        <v>-17.004000000000001</v>
      </c>
      <c r="P102" s="9">
        <v>-22.344000000000001</v>
      </c>
      <c r="Q102" s="9">
        <v>-2.5990000000000002</v>
      </c>
      <c r="R102" s="9">
        <v>11.279</v>
      </c>
      <c r="T102" s="5"/>
      <c r="U102" s="5"/>
      <c r="V102" s="5"/>
      <c r="AD102" s="114"/>
    </row>
    <row r="103" spans="2:30" s="9" customFormat="1" x14ac:dyDescent="0.25">
      <c r="B103" s="208" t="s">
        <v>277</v>
      </c>
      <c r="C103" s="209"/>
      <c r="D103" s="209"/>
      <c r="E103" s="209"/>
      <c r="F103" s="5"/>
      <c r="G103" s="5"/>
      <c r="H103" s="5">
        <v>0.28000000000000003</v>
      </c>
      <c r="I103" s="5">
        <v>-1.6060000000000001</v>
      </c>
      <c r="J103" s="5"/>
      <c r="K103" s="5"/>
      <c r="L103" s="5">
        <v>-0.57899999999999996</v>
      </c>
      <c r="M103" s="9">
        <v>0</v>
      </c>
      <c r="N103" s="5">
        <v>10.738</v>
      </c>
      <c r="O103" s="275">
        <v>1.97</v>
      </c>
      <c r="P103" s="9">
        <v>2.286</v>
      </c>
      <c r="Q103" s="9">
        <v>4.9710000000000001</v>
      </c>
      <c r="R103" s="9">
        <v>6.4260000000000002</v>
      </c>
      <c r="T103" s="5"/>
      <c r="U103" s="5"/>
      <c r="V103" s="5"/>
      <c r="AD103" s="114"/>
    </row>
    <row r="104" spans="2:30" s="9" customFormat="1" x14ac:dyDescent="0.25">
      <c r="B104" s="208" t="s">
        <v>278</v>
      </c>
      <c r="C104" s="209"/>
      <c r="D104" s="209"/>
      <c r="E104" s="209"/>
      <c r="F104" s="5"/>
      <c r="G104" s="5"/>
      <c r="H104" s="5">
        <v>-10.573</v>
      </c>
      <c r="I104" s="5">
        <v>-11.413</v>
      </c>
      <c r="J104" s="5"/>
      <c r="K104" s="5"/>
      <c r="L104" s="5">
        <v>-10.021000000000001</v>
      </c>
      <c r="M104" s="5">
        <v>-11.259</v>
      </c>
      <c r="N104" s="5">
        <v>14.885999999999999</v>
      </c>
      <c r="O104" s="275">
        <v>-11.999000000000001</v>
      </c>
      <c r="P104" s="9">
        <v>-30.843</v>
      </c>
      <c r="Q104" s="9">
        <v>-46.837000000000003</v>
      </c>
      <c r="R104" s="9">
        <v>-3.617</v>
      </c>
      <c r="T104" s="5"/>
      <c r="U104" s="5"/>
      <c r="V104" s="5"/>
      <c r="AD104" s="114"/>
    </row>
    <row r="105" spans="2:30" s="9" customFormat="1" x14ac:dyDescent="0.25">
      <c r="B105" s="208" t="s">
        <v>279</v>
      </c>
      <c r="C105" s="209"/>
      <c r="D105" s="209"/>
      <c r="E105" s="209"/>
      <c r="F105" s="5"/>
      <c r="G105" s="5"/>
      <c r="H105" s="5">
        <v>215.49700000000001</v>
      </c>
      <c r="I105" s="5">
        <v>131.43899999999999</v>
      </c>
      <c r="J105" s="5"/>
      <c r="K105" s="5"/>
      <c r="L105" s="5">
        <v>52.14</v>
      </c>
      <c r="M105" s="5">
        <v>187.99100000000001</v>
      </c>
      <c r="N105" s="5">
        <v>325.45</v>
      </c>
      <c r="O105" s="275">
        <v>123.783</v>
      </c>
      <c r="P105" s="9">
        <v>229.155</v>
      </c>
      <c r="Q105" s="9">
        <v>360.09800000000001</v>
      </c>
      <c r="R105" s="9">
        <v>382.19600000000003</v>
      </c>
      <c r="T105" s="5"/>
      <c r="U105" s="5"/>
      <c r="V105" s="5"/>
      <c r="AD105" s="114"/>
    </row>
    <row r="106" spans="2:30" s="9" customFormat="1" x14ac:dyDescent="0.25">
      <c r="B106" s="208" t="s">
        <v>280</v>
      </c>
      <c r="C106" s="209"/>
      <c r="D106" s="209"/>
      <c r="E106" s="209"/>
      <c r="F106" s="5"/>
      <c r="G106" s="5"/>
      <c r="H106" s="5">
        <v>-45.600999999999999</v>
      </c>
      <c r="I106" s="5">
        <v>-26.669</v>
      </c>
      <c r="J106" s="5"/>
      <c r="K106" s="5"/>
      <c r="L106" s="5">
        <v>-2.621</v>
      </c>
      <c r="M106" s="5">
        <v>-32.512999999999998</v>
      </c>
      <c r="N106" s="5">
        <v>-52.53</v>
      </c>
      <c r="O106" s="275">
        <v>-20.137</v>
      </c>
      <c r="P106" s="9">
        <v>-38.597000000000001</v>
      </c>
      <c r="Q106" s="9">
        <v>-62.073999999999998</v>
      </c>
      <c r="R106" s="9">
        <v>-77.805000000000007</v>
      </c>
      <c r="T106" s="5"/>
      <c r="U106" s="5"/>
      <c r="V106" s="5"/>
      <c r="AD106" s="114"/>
    </row>
    <row r="107" spans="2:30" s="3" customFormat="1" x14ac:dyDescent="0.25">
      <c r="B107" s="3" t="s">
        <v>260</v>
      </c>
      <c r="C107" s="214"/>
      <c r="D107" s="214"/>
      <c r="E107" s="214"/>
      <c r="F107" s="4"/>
      <c r="G107" s="4"/>
      <c r="H107" s="4">
        <f>H86+SUM(H89:H96)</f>
        <v>191.25100000000003</v>
      </c>
      <c r="I107" s="4">
        <f>I86+SUM(I89:I96)</f>
        <v>181.166</v>
      </c>
      <c r="J107" s="4"/>
      <c r="K107" s="4"/>
      <c r="L107" s="4">
        <f t="shared" ref="L107:N107" si="194">+L86+SUM(L89:L96)</f>
        <v>26.497000000000014</v>
      </c>
      <c r="M107" s="4">
        <f t="shared" si="194"/>
        <v>67.150000000000034</v>
      </c>
      <c r="N107" s="4">
        <f t="shared" si="194"/>
        <v>148.98950000000002</v>
      </c>
      <c r="O107" s="4">
        <f>+O86+SUM(O89:O96)</f>
        <v>173.78100000000001</v>
      </c>
      <c r="P107" s="4">
        <f>+P86+SUM(P89:P96)</f>
        <v>472.11900000000009</v>
      </c>
      <c r="Q107" s="4">
        <f>+Q86+SUM(Q89:Q96)</f>
        <v>869.66399999999999</v>
      </c>
      <c r="R107" s="4">
        <f>+R86+SUM(R89:R96)</f>
        <v>618.14099999999985</v>
      </c>
      <c r="T107" s="4"/>
      <c r="U107" s="4"/>
      <c r="V107" s="4"/>
      <c r="AD107" s="113"/>
    </row>
    <row r="108" spans="2:30" s="9" customFormat="1" x14ac:dyDescent="0.25">
      <c r="B108" s="211"/>
      <c r="C108" s="209"/>
      <c r="D108" s="209"/>
      <c r="E108" s="209"/>
      <c r="F108" s="5"/>
      <c r="G108" s="5"/>
      <c r="H108" s="5"/>
      <c r="I108" s="5"/>
      <c r="J108" s="5"/>
      <c r="K108" s="5"/>
      <c r="L108" s="5"/>
      <c r="M108" s="5"/>
      <c r="N108" s="5"/>
      <c r="O108" s="275"/>
      <c r="T108" s="5"/>
      <c r="U108" s="5"/>
      <c r="V108" s="5"/>
      <c r="AD108" s="114"/>
    </row>
    <row r="109" spans="2:30" s="9" customFormat="1" x14ac:dyDescent="0.25">
      <c r="B109" s="213" t="s">
        <v>261</v>
      </c>
      <c r="C109" s="209"/>
      <c r="D109" s="209"/>
      <c r="E109" s="209"/>
      <c r="F109" s="5"/>
      <c r="G109" s="5"/>
      <c r="H109" s="5">
        <v>-23.234999999999999</v>
      </c>
      <c r="I109" s="5">
        <v>-2.9620000000000002</v>
      </c>
      <c r="J109" s="5"/>
      <c r="K109" s="5"/>
      <c r="L109" s="5">
        <v>-83.811999999999998</v>
      </c>
      <c r="M109" s="5">
        <v>-133.35599999999999</v>
      </c>
      <c r="N109" s="5">
        <v>-157.20500000000001</v>
      </c>
      <c r="O109" s="275">
        <v>-91.358999999999995</v>
      </c>
      <c r="P109" s="9">
        <v>-202.274</v>
      </c>
      <c r="Q109" s="9">
        <v>-255.47</v>
      </c>
      <c r="R109" s="9">
        <v>-65.197000000000003</v>
      </c>
      <c r="T109" s="5"/>
      <c r="U109" s="5"/>
      <c r="V109" s="5"/>
      <c r="AD109" s="114"/>
    </row>
    <row r="110" spans="2:30" s="9" customFormat="1" x14ac:dyDescent="0.25">
      <c r="B110" s="275" t="s">
        <v>326</v>
      </c>
      <c r="C110" s="209"/>
      <c r="D110" s="209"/>
      <c r="E110" s="209"/>
      <c r="F110" s="5"/>
      <c r="G110" s="5"/>
      <c r="H110" s="5">
        <v>0</v>
      </c>
      <c r="I110" s="5">
        <v>0</v>
      </c>
      <c r="J110" s="5"/>
      <c r="K110" s="5"/>
      <c r="L110" s="5">
        <v>0</v>
      </c>
      <c r="M110" s="5">
        <v>0</v>
      </c>
      <c r="N110" s="5">
        <v>0</v>
      </c>
      <c r="O110" s="275">
        <v>-2340.1999999999998</v>
      </c>
      <c r="P110" s="9">
        <v>-3042.76</v>
      </c>
      <c r="Q110" s="9">
        <v>-3803.9110000000001</v>
      </c>
      <c r="R110" s="9">
        <v>-788.06299999999999</v>
      </c>
      <c r="T110" s="5"/>
      <c r="U110" s="5"/>
      <c r="V110" s="5"/>
      <c r="AD110" s="114"/>
    </row>
    <row r="111" spans="2:30" s="9" customFormat="1" x14ac:dyDescent="0.25">
      <c r="B111" s="275" t="s">
        <v>327</v>
      </c>
      <c r="C111" s="209"/>
      <c r="D111" s="209"/>
      <c r="E111" s="209"/>
      <c r="F111" s="5"/>
      <c r="G111" s="5"/>
      <c r="H111" s="5">
        <v>0</v>
      </c>
      <c r="I111" s="5">
        <v>0</v>
      </c>
      <c r="J111" s="5"/>
      <c r="K111" s="5"/>
      <c r="L111" s="5">
        <v>0</v>
      </c>
      <c r="M111" s="5">
        <v>0</v>
      </c>
      <c r="N111" s="5">
        <v>0</v>
      </c>
      <c r="O111" s="275">
        <v>84.278999999999996</v>
      </c>
      <c r="P111" s="9">
        <v>229.279</v>
      </c>
      <c r="Q111" s="9">
        <v>346.76600000000002</v>
      </c>
      <c r="R111" s="9">
        <v>115.416</v>
      </c>
      <c r="T111" s="5"/>
      <c r="U111" s="5"/>
      <c r="V111" s="5"/>
      <c r="AD111" s="114"/>
    </row>
    <row r="112" spans="2:30" s="9" customFormat="1" x14ac:dyDescent="0.25">
      <c r="B112" s="213" t="s">
        <v>262</v>
      </c>
      <c r="C112" s="209"/>
      <c r="D112" s="209"/>
      <c r="E112" s="209"/>
      <c r="F112" s="5"/>
      <c r="G112" s="5"/>
      <c r="H112" s="5">
        <v>0</v>
      </c>
      <c r="I112" s="5">
        <v>-45.692</v>
      </c>
      <c r="J112" s="5"/>
      <c r="K112" s="5"/>
      <c r="L112" s="5">
        <v>-6.165</v>
      </c>
      <c r="M112" s="5">
        <v>0</v>
      </c>
      <c r="N112" s="5">
        <v>-7.2229999999999999</v>
      </c>
      <c r="O112" s="275">
        <v>0</v>
      </c>
      <c r="P112" s="9">
        <v>0</v>
      </c>
      <c r="Q112" s="9">
        <v>-3.859</v>
      </c>
      <c r="R112" s="9">
        <v>0</v>
      </c>
      <c r="T112" s="5"/>
      <c r="U112" s="5"/>
      <c r="V112" s="5"/>
      <c r="AD112" s="114"/>
    </row>
    <row r="113" spans="2:30" s="9" customFormat="1" x14ac:dyDescent="0.25">
      <c r="B113" s="213" t="s">
        <v>263</v>
      </c>
      <c r="C113" s="209"/>
      <c r="D113" s="209"/>
      <c r="E113" s="209"/>
      <c r="F113" s="5"/>
      <c r="G113" s="5"/>
      <c r="H113" s="5">
        <v>0</v>
      </c>
      <c r="I113" s="5">
        <v>-7.6</v>
      </c>
      <c r="J113" s="5"/>
      <c r="K113" s="5"/>
      <c r="L113" s="5">
        <v>0</v>
      </c>
      <c r="M113" s="5">
        <v>-1.5</v>
      </c>
      <c r="N113" s="5">
        <v>0</v>
      </c>
      <c r="O113" s="275">
        <v>-0.5</v>
      </c>
      <c r="P113" s="9">
        <v>-13.5</v>
      </c>
      <c r="Q113" s="9">
        <v>-13.5</v>
      </c>
      <c r="R113" s="9">
        <v>0</v>
      </c>
      <c r="T113" s="5"/>
      <c r="U113" s="5"/>
      <c r="V113" s="5"/>
      <c r="AD113" s="114"/>
    </row>
    <row r="114" spans="2:30" s="3" customFormat="1" x14ac:dyDescent="0.25">
      <c r="B114" s="3" t="s">
        <v>264</v>
      </c>
      <c r="C114" s="214"/>
      <c r="D114" s="214"/>
      <c r="E114" s="214"/>
      <c r="F114" s="4"/>
      <c r="G114" s="4"/>
      <c r="H114" s="4">
        <f>SUM(H109:H113)</f>
        <v>-23.234999999999999</v>
      </c>
      <c r="I114" s="4">
        <f>SUM(I109:I113)</f>
        <v>-56.254000000000005</v>
      </c>
      <c r="J114" s="4"/>
      <c r="K114" s="4"/>
      <c r="L114" s="4">
        <f t="shared" ref="L114:N114" si="195">SUM(L109:L113)</f>
        <v>-89.977000000000004</v>
      </c>
      <c r="M114" s="4">
        <f t="shared" si="195"/>
        <v>-134.85599999999999</v>
      </c>
      <c r="N114" s="4">
        <f t="shared" si="195"/>
        <v>-164.42800000000003</v>
      </c>
      <c r="O114" s="4">
        <f>SUM(O109:O113)</f>
        <v>-2347.7799999999997</v>
      </c>
      <c r="P114" s="4">
        <f>SUM(P109:P113)</f>
        <v>-3029.2550000000001</v>
      </c>
      <c r="Q114" s="4">
        <f>SUM(Q109:Q113)</f>
        <v>-3729.9739999999997</v>
      </c>
      <c r="R114" s="4">
        <f>SUM(R109:R113)</f>
        <v>-737.84400000000005</v>
      </c>
      <c r="T114" s="4"/>
      <c r="U114" s="4"/>
      <c r="V114" s="4"/>
      <c r="AD114" s="113"/>
    </row>
    <row r="115" spans="2:30" s="9" customFormat="1" x14ac:dyDescent="0.25">
      <c r="B115" s="211"/>
      <c r="C115" s="209"/>
      <c r="D115" s="209"/>
      <c r="E115" s="209"/>
      <c r="F115" s="5"/>
      <c r="G115" s="5"/>
      <c r="H115" s="5"/>
      <c r="I115" s="5"/>
      <c r="J115" s="5"/>
      <c r="K115" s="5"/>
      <c r="L115" s="5"/>
      <c r="M115" s="5"/>
      <c r="N115" s="5"/>
      <c r="O115" s="275"/>
      <c r="T115" s="5"/>
      <c r="U115" s="5"/>
      <c r="V115" s="5"/>
      <c r="AD115" s="114"/>
    </row>
    <row r="116" spans="2:30" s="9" customFormat="1" x14ac:dyDescent="0.25">
      <c r="B116" s="213" t="s">
        <v>265</v>
      </c>
      <c r="C116" s="209"/>
      <c r="D116" s="209"/>
      <c r="E116" s="209"/>
      <c r="F116" s="5"/>
      <c r="G116" s="5"/>
      <c r="H116" s="5">
        <v>11.667999999999999</v>
      </c>
      <c r="I116" s="5">
        <v>20.388999999999999</v>
      </c>
      <c r="J116" s="5"/>
      <c r="K116" s="5"/>
      <c r="L116" s="5">
        <v>5.548</v>
      </c>
      <c r="M116" s="5">
        <v>12.83</v>
      </c>
      <c r="N116" s="5">
        <v>3.0459999999999998</v>
      </c>
      <c r="O116" s="275">
        <v>25.472000000000001</v>
      </c>
      <c r="P116" s="9">
        <v>31.106999999999999</v>
      </c>
      <c r="Q116" s="9">
        <v>47.316000000000003</v>
      </c>
      <c r="R116" s="9">
        <v>5.91</v>
      </c>
      <c r="T116" s="5"/>
      <c r="U116" s="5"/>
      <c r="V116" s="5"/>
      <c r="AD116" s="114"/>
    </row>
    <row r="117" spans="2:30" s="9" customFormat="1" x14ac:dyDescent="0.25">
      <c r="B117" s="213" t="s">
        <v>266</v>
      </c>
      <c r="C117" s="209"/>
      <c r="D117" s="209"/>
      <c r="E117" s="209"/>
      <c r="F117" s="5"/>
      <c r="G117" s="5"/>
      <c r="H117" s="5">
        <v>0</v>
      </c>
      <c r="I117" s="5">
        <v>0</v>
      </c>
      <c r="J117" s="5"/>
      <c r="K117" s="5"/>
      <c r="L117" s="5">
        <v>-0.42</v>
      </c>
      <c r="M117" s="5">
        <v>0</v>
      </c>
      <c r="N117" s="5">
        <v>-1.236</v>
      </c>
      <c r="O117" s="275">
        <v>0</v>
      </c>
      <c r="P117" s="9">
        <v>0</v>
      </c>
      <c r="Q117" s="9">
        <v>0</v>
      </c>
      <c r="R117" s="9">
        <v>0</v>
      </c>
      <c r="T117" s="5"/>
      <c r="U117" s="5"/>
      <c r="V117" s="5"/>
      <c r="AD117" s="114"/>
    </row>
    <row r="118" spans="2:30" s="9" customFormat="1" x14ac:dyDescent="0.25">
      <c r="B118" s="213" t="s">
        <v>267</v>
      </c>
      <c r="C118" s="209"/>
      <c r="D118" s="209"/>
      <c r="E118" s="209"/>
      <c r="F118" s="5"/>
      <c r="G118" s="5"/>
      <c r="H118" s="5">
        <v>0</v>
      </c>
      <c r="I118" s="5">
        <v>0</v>
      </c>
      <c r="J118" s="5"/>
      <c r="K118" s="5"/>
      <c r="L118" s="5">
        <v>0</v>
      </c>
      <c r="M118" s="5">
        <v>0</v>
      </c>
      <c r="N118" s="5">
        <v>0</v>
      </c>
      <c r="O118" s="275">
        <v>0</v>
      </c>
      <c r="P118" s="9">
        <v>14.7</v>
      </c>
      <c r="Q118" s="9">
        <v>14.7</v>
      </c>
      <c r="R118" s="9">
        <v>0</v>
      </c>
      <c r="T118" s="5"/>
      <c r="U118" s="5"/>
      <c r="V118" s="5"/>
      <c r="AD118" s="114"/>
    </row>
    <row r="119" spans="2:30" s="9" customFormat="1" x14ac:dyDescent="0.25">
      <c r="B119" s="213" t="s">
        <v>268</v>
      </c>
      <c r="C119" s="209"/>
      <c r="D119" s="209"/>
      <c r="E119" s="209"/>
      <c r="F119" s="5"/>
      <c r="G119" s="5"/>
      <c r="H119" s="5">
        <v>0</v>
      </c>
      <c r="I119" s="5">
        <v>0</v>
      </c>
      <c r="J119" s="5"/>
      <c r="K119" s="5"/>
      <c r="L119" s="5">
        <v>0</v>
      </c>
      <c r="M119" s="5">
        <v>0</v>
      </c>
      <c r="N119" s="5">
        <v>0</v>
      </c>
      <c r="O119" s="275">
        <v>0</v>
      </c>
      <c r="P119" s="9">
        <v>0</v>
      </c>
      <c r="Q119" s="9">
        <v>0</v>
      </c>
      <c r="R119" s="9">
        <v>0</v>
      </c>
      <c r="T119" s="5"/>
      <c r="U119" s="5"/>
      <c r="V119" s="5"/>
      <c r="AD119" s="114"/>
    </row>
    <row r="120" spans="2:30" s="9" customFormat="1" x14ac:dyDescent="0.25">
      <c r="B120" s="213" t="s">
        <v>269</v>
      </c>
      <c r="C120" s="209"/>
      <c r="D120" s="209"/>
      <c r="E120" s="209"/>
      <c r="F120" s="5"/>
      <c r="G120" s="5"/>
      <c r="H120" s="5">
        <v>0</v>
      </c>
      <c r="I120" s="5">
        <v>0</v>
      </c>
      <c r="J120" s="5"/>
      <c r="K120" s="5"/>
      <c r="L120" s="5">
        <v>0</v>
      </c>
      <c r="M120" s="5">
        <v>0</v>
      </c>
      <c r="N120" s="5">
        <v>0</v>
      </c>
      <c r="O120" s="275">
        <v>0</v>
      </c>
      <c r="P120" s="9">
        <v>0</v>
      </c>
      <c r="Q120" s="9">
        <v>0</v>
      </c>
      <c r="R120" s="9">
        <v>0</v>
      </c>
      <c r="T120" s="5"/>
      <c r="U120" s="5"/>
      <c r="V120" s="5"/>
      <c r="AD120" s="114"/>
    </row>
    <row r="121" spans="2:30" s="9" customFormat="1" x14ac:dyDescent="0.25">
      <c r="B121" s="213" t="s">
        <v>270</v>
      </c>
      <c r="C121" s="209"/>
      <c r="D121" s="209"/>
      <c r="E121" s="209"/>
      <c r="F121" s="5"/>
      <c r="G121" s="5"/>
      <c r="H121" s="5">
        <v>0</v>
      </c>
      <c r="I121" s="5">
        <v>0</v>
      </c>
      <c r="J121" s="5"/>
      <c r="K121" s="5"/>
      <c r="L121" s="5">
        <v>0</v>
      </c>
      <c r="M121" s="5">
        <v>-0.15</v>
      </c>
      <c r="N121" s="5">
        <v>0</v>
      </c>
      <c r="O121" s="275">
        <v>-0.75</v>
      </c>
      <c r="P121" s="9">
        <v>-0.75</v>
      </c>
      <c r="Q121" s="9">
        <v>-0.75</v>
      </c>
      <c r="R121" s="9">
        <v>0</v>
      </c>
      <c r="T121" s="5"/>
      <c r="U121" s="5"/>
      <c r="V121" s="5"/>
      <c r="AD121" s="114"/>
    </row>
    <row r="122" spans="2:30" s="3" customFormat="1" x14ac:dyDescent="0.25">
      <c r="B122" s="3" t="s">
        <v>271</v>
      </c>
      <c r="C122" s="214"/>
      <c r="D122" s="214"/>
      <c r="E122" s="214"/>
      <c r="F122" s="4"/>
      <c r="G122" s="4"/>
      <c r="H122" s="4">
        <f>SUM(H116:H121)</f>
        <v>11.667999999999999</v>
      </c>
      <c r="I122" s="4">
        <f>SUM(I116:I121)</f>
        <v>20.388999999999999</v>
      </c>
      <c r="J122" s="4"/>
      <c r="K122" s="4"/>
      <c r="L122" s="4">
        <f t="shared" ref="L122:R122" si="196">SUM(L116:L121)</f>
        <v>5.1280000000000001</v>
      </c>
      <c r="M122" s="4">
        <f t="shared" si="196"/>
        <v>12.68</v>
      </c>
      <c r="N122" s="4">
        <f t="shared" si="196"/>
        <v>1.8099999999999998</v>
      </c>
      <c r="O122" s="4">
        <f t="shared" si="196"/>
        <v>24.722000000000001</v>
      </c>
      <c r="P122" s="4">
        <f t="shared" si="196"/>
        <v>45.057000000000002</v>
      </c>
      <c r="Q122" s="4">
        <f t="shared" si="196"/>
        <v>61.266000000000005</v>
      </c>
      <c r="R122" s="4">
        <f t="shared" si="196"/>
        <v>5.91</v>
      </c>
      <c r="T122" s="4"/>
      <c r="U122" s="4"/>
      <c r="V122" s="4"/>
      <c r="AD122" s="113"/>
    </row>
    <row r="124" spans="2:30" s="207" customFormat="1" x14ac:dyDescent="0.25">
      <c r="B124" s="207" t="s">
        <v>281</v>
      </c>
      <c r="C124"/>
      <c r="D124"/>
      <c r="E124"/>
      <c r="F124" s="215"/>
      <c r="G124" s="215"/>
      <c r="H124" s="216">
        <f>H109+H113</f>
        <v>-23.234999999999999</v>
      </c>
      <c r="I124" s="216">
        <f>I109+I113</f>
        <v>-10.561999999999999</v>
      </c>
      <c r="J124" s="215"/>
      <c r="K124" s="215"/>
      <c r="L124" s="216">
        <f>L109+L113</f>
        <v>-83.811999999999998</v>
      </c>
      <c r="M124" s="216">
        <f>M109+M113</f>
        <v>-134.85599999999999</v>
      </c>
      <c r="N124" s="216">
        <f t="shared" ref="N124:O124" si="197">N109+N113</f>
        <v>-157.20500000000001</v>
      </c>
      <c r="O124" s="216">
        <f t="shared" si="197"/>
        <v>-91.858999999999995</v>
      </c>
      <c r="P124" s="216">
        <f t="shared" ref="P124:Q124" si="198">P109+P113</f>
        <v>-215.774</v>
      </c>
      <c r="Q124" s="216">
        <f t="shared" si="198"/>
        <v>-268.97000000000003</v>
      </c>
      <c r="R124" s="216">
        <f t="shared" ref="R124" si="199">R109+R113</f>
        <v>-65.197000000000003</v>
      </c>
      <c r="T124" s="215"/>
      <c r="U124" s="215"/>
      <c r="V124" s="215"/>
      <c r="AD124" s="229"/>
    </row>
    <row r="125" spans="2:30" s="286" customFormat="1" x14ac:dyDescent="0.25">
      <c r="B125" s="286" t="s">
        <v>328</v>
      </c>
      <c r="C125" s="287"/>
      <c r="D125" s="287"/>
      <c r="E125" s="287"/>
      <c r="F125" s="288"/>
      <c r="G125" s="288"/>
      <c r="H125" s="289">
        <f t="shared" ref="H125" si="200">+H107+H124</f>
        <v>168.01600000000002</v>
      </c>
      <c r="I125" s="289">
        <f t="shared" ref="I125" si="201">+I107+I124</f>
        <v>170.60399999999998</v>
      </c>
      <c r="J125" s="288"/>
      <c r="K125" s="288"/>
      <c r="L125" s="289">
        <f t="shared" ref="L125:N125" si="202">+L107+L124</f>
        <v>-57.314999999999984</v>
      </c>
      <c r="M125" s="289">
        <f t="shared" si="202"/>
        <v>-67.70599999999996</v>
      </c>
      <c r="N125" s="289">
        <f t="shared" si="202"/>
        <v>-8.2154999999999916</v>
      </c>
      <c r="O125" s="289">
        <f>+O107+O124</f>
        <v>81.922000000000011</v>
      </c>
      <c r="P125" s="289">
        <f t="shared" ref="P125:Q125" si="203">+P107+P124</f>
        <v>256.34500000000008</v>
      </c>
      <c r="Q125" s="289">
        <f t="shared" si="203"/>
        <v>600.69399999999996</v>
      </c>
      <c r="R125" s="289">
        <f t="shared" ref="R125" si="204">+R107+R124</f>
        <v>552.94399999999985</v>
      </c>
      <c r="T125" s="288"/>
      <c r="U125" s="288"/>
      <c r="V125" s="288"/>
      <c r="AD125" s="290"/>
    </row>
    <row r="127" spans="2:30" x14ac:dyDescent="0.25">
      <c r="B127" s="207"/>
    </row>
    <row r="128" spans="2:30" x14ac:dyDescent="0.25">
      <c r="B128" s="207"/>
    </row>
  </sheetData>
  <phoneticPr fontId="37" type="noConversion"/>
  <hyperlinks>
    <hyperlink ref="L1" r:id="rId1" xr:uid="{F0F1B078-C7E3-AA47-9924-08C1D4511F24}"/>
    <hyperlink ref="M1" r:id="rId2" display="Q323" xr:uid="{9D82E829-DF9B-4456-A9EF-305989A97DF8}"/>
    <hyperlink ref="N1" r:id="rId3" xr:uid="{D77D94B8-F055-425F-A9F3-8A6117BB57B9}"/>
    <hyperlink ref="O1" r:id="rId4" xr:uid="{EE6526CE-929C-4EE5-B59F-3B1AE9FE4671}"/>
    <hyperlink ref="P1" r:id="rId5" xr:uid="{6D75E1E5-0C3C-4D84-9E7C-A28543DAAD6B}"/>
    <hyperlink ref="Q1" r:id="rId6" xr:uid="{4976091D-8C4D-478C-8AE2-F7B3B48928C1}"/>
    <hyperlink ref="R1" r:id="rId7" xr:uid="{2E2D374E-BD65-43FE-AAA9-2448D78C2305}"/>
  </hyperlinks>
  <pageMargins left="0.7" right="0.7" top="0.75" bottom="0.75" header="0.3" footer="0.3"/>
  <pageSetup paperSize="119" orientation="portrait" horizontalDpi="203" verticalDpi="203" r:id="rId8"/>
  <ignoredErrors>
    <ignoredError sqref="AA3:AA4 AA6:AA8 AA9:AA13 AB3:AB4 AA17:AA20 AB17:AB20 AB6:AB13 AA15 AB15 AC3:AC4 AC6:AC15 G81:L81 L78:L79 G78:J79 K79 K78 G80:P80 M78:P78 M79:P79 G82:P82 M81:P81 Q78:R82" formulaRange="1"/>
    <ignoredError sqref="AA5 AA16:AB16 AA14 AC21 AD16:AP16 AE18:AP18 AQ13:AR18 AE20:AP20 AC18" formula="1"/>
    <ignoredError sqref="AB5 AB14 AC16:AC17 AC5" formula="1" formulaRange="1"/>
  </ignoredErrors>
  <drawing r:id="rId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C1264-D281-9E4E-B0F5-F497A82B7907}">
  <dimension ref="A1:AE2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48" sqref="V48"/>
    </sheetView>
  </sheetViews>
  <sheetFormatPr defaultColWidth="9" defaultRowHeight="15" x14ac:dyDescent="0.25"/>
  <cols>
    <col min="1" max="1" width="12.875" style="22" bestFit="1" customWidth="1"/>
    <col min="2" max="2" width="17.5" style="22" bestFit="1" customWidth="1"/>
    <col min="3" max="27" width="9" style="22"/>
    <col min="28" max="28" width="9" style="233"/>
    <col min="29" max="16384" width="9" style="22"/>
  </cols>
  <sheetData>
    <row r="1" spans="1:31" x14ac:dyDescent="0.25">
      <c r="B1" s="29" t="s">
        <v>81</v>
      </c>
      <c r="C1" s="25" t="s">
        <v>72</v>
      </c>
      <c r="D1" s="25" t="s">
        <v>71</v>
      </c>
      <c r="E1" s="25" t="s">
        <v>70</v>
      </c>
      <c r="F1" s="25" t="s">
        <v>69</v>
      </c>
      <c r="G1" s="25" t="s">
        <v>68</v>
      </c>
      <c r="H1" s="25" t="s">
        <v>67</v>
      </c>
      <c r="I1" s="25" t="s">
        <v>66</v>
      </c>
      <c r="J1" s="25" t="s">
        <v>65</v>
      </c>
      <c r="K1" s="25" t="s">
        <v>32</v>
      </c>
      <c r="L1" s="25" t="s">
        <v>10</v>
      </c>
      <c r="M1" s="25" t="s">
        <v>11</v>
      </c>
      <c r="N1" s="25" t="s">
        <v>12</v>
      </c>
      <c r="O1" s="25" t="s">
        <v>6</v>
      </c>
      <c r="P1" s="25" t="s">
        <v>8</v>
      </c>
      <c r="Q1" s="25" t="s">
        <v>13</v>
      </c>
      <c r="R1" s="25" t="s">
        <v>109</v>
      </c>
      <c r="S1" s="25" t="s">
        <v>15</v>
      </c>
      <c r="T1" s="25" t="s">
        <v>108</v>
      </c>
      <c r="U1" s="25" t="s">
        <v>365</v>
      </c>
      <c r="V1" s="25" t="s">
        <v>14</v>
      </c>
      <c r="W1" s="25" t="s">
        <v>391</v>
      </c>
      <c r="X1" s="25"/>
      <c r="Y1" s="25" t="s">
        <v>110</v>
      </c>
      <c r="Z1" s="25" t="s">
        <v>89</v>
      </c>
      <c r="AA1" s="25" t="s">
        <v>90</v>
      </c>
      <c r="AB1" s="25" t="s">
        <v>91</v>
      </c>
      <c r="AC1" s="25" t="s">
        <v>95</v>
      </c>
      <c r="AD1" s="25" t="s">
        <v>96</v>
      </c>
      <c r="AE1" s="25" t="s">
        <v>97</v>
      </c>
    </row>
    <row r="2" spans="1:31" x14ac:dyDescent="0.25">
      <c r="A2" s="30" t="s">
        <v>87</v>
      </c>
      <c r="B2" s="26" t="s">
        <v>62</v>
      </c>
      <c r="C2" s="1">
        <v>13.7</v>
      </c>
      <c r="D2" s="1">
        <v>15.8</v>
      </c>
      <c r="E2" s="1">
        <v>17.100000000000001</v>
      </c>
      <c r="F2" s="1">
        <v>18.399999999999999</v>
      </c>
      <c r="G2" s="1">
        <v>19.100000000000001</v>
      </c>
      <c r="H2" s="1">
        <v>23.6</v>
      </c>
      <c r="I2" s="1">
        <v>33.4</v>
      </c>
      <c r="J2" s="1">
        <v>36.200000000000003</v>
      </c>
      <c r="K2" s="1">
        <v>37.1</v>
      </c>
      <c r="L2" s="1">
        <v>42.1</v>
      </c>
      <c r="M2" s="1">
        <v>43.2</v>
      </c>
      <c r="N2" s="1">
        <v>47.3</v>
      </c>
      <c r="O2" s="1">
        <v>49.5</v>
      </c>
      <c r="P2" s="1">
        <v>54.1</v>
      </c>
      <c r="Q2" s="1">
        <v>52.2</v>
      </c>
      <c r="R2" s="1">
        <v>58.8</v>
      </c>
      <c r="S2" s="1">
        <v>58.8</v>
      </c>
      <c r="T2" s="1">
        <v>66.099999999999994</v>
      </c>
      <c r="U2" s="1">
        <v>65.5</v>
      </c>
      <c r="V2" s="1">
        <v>70.2</v>
      </c>
      <c r="W2" s="1">
        <v>71.5</v>
      </c>
      <c r="Y2" s="3">
        <f>AVERAGE(D2:G2)</f>
        <v>17.600000000000001</v>
      </c>
      <c r="Z2" s="3">
        <f>AVERAGE(H2:K2)</f>
        <v>32.575000000000003</v>
      </c>
      <c r="AA2" s="3">
        <f>AVERAGE(L2:O2)</f>
        <v>45.525000000000006</v>
      </c>
      <c r="AB2" s="3">
        <f>AVERAGE(P2:S2)</f>
        <v>55.975000000000009</v>
      </c>
      <c r="AC2" s="3">
        <f>AVERAGE(T2:W2)</f>
        <v>68.325000000000003</v>
      </c>
    </row>
    <row r="3" spans="1:31" x14ac:dyDescent="0.25">
      <c r="B3" s="27" t="s">
        <v>73</v>
      </c>
      <c r="C3" s="24" t="s">
        <v>33</v>
      </c>
      <c r="D3" s="28">
        <f t="shared" ref="D3:Q3" si="0">D2/C2-1</f>
        <v>0.15328467153284686</v>
      </c>
      <c r="E3" s="28">
        <f t="shared" si="0"/>
        <v>8.2278481012658222E-2</v>
      </c>
      <c r="F3" s="28">
        <f t="shared" si="0"/>
        <v>7.6023391812865215E-2</v>
      </c>
      <c r="G3" s="28">
        <f t="shared" si="0"/>
        <v>3.8043478260869623E-2</v>
      </c>
      <c r="H3" s="28">
        <f t="shared" si="0"/>
        <v>0.23560209424083767</v>
      </c>
      <c r="I3" s="28">
        <f t="shared" si="0"/>
        <v>0.41525423728813537</v>
      </c>
      <c r="J3" s="28">
        <f t="shared" si="0"/>
        <v>8.3832335329341534E-2</v>
      </c>
      <c r="K3" s="28">
        <f t="shared" si="0"/>
        <v>2.4861878453038555E-2</v>
      </c>
      <c r="L3" s="28">
        <f t="shared" si="0"/>
        <v>0.13477088948787053</v>
      </c>
      <c r="M3" s="28">
        <f t="shared" si="0"/>
        <v>2.6128266033254244E-2</v>
      </c>
      <c r="N3" s="28">
        <f t="shared" si="0"/>
        <v>9.4907407407407218E-2</v>
      </c>
      <c r="O3" s="28">
        <f t="shared" si="0"/>
        <v>4.6511627906976827E-2</v>
      </c>
      <c r="P3" s="50">
        <f t="shared" si="0"/>
        <v>9.2929292929292862E-2</v>
      </c>
      <c r="Q3" s="50">
        <f t="shared" si="0"/>
        <v>-3.512014787430684E-2</v>
      </c>
      <c r="R3" s="50">
        <f t="shared" ref="R3" si="1">R2/Q2-1</f>
        <v>0.12643678160919536</v>
      </c>
      <c r="S3" s="50">
        <f t="shared" ref="S3" si="2">S2/R2-1</f>
        <v>0</v>
      </c>
      <c r="T3" s="50">
        <f t="shared" ref="T3" si="3">T2/S2-1</f>
        <v>0.12414965986394555</v>
      </c>
      <c r="U3" s="50">
        <f t="shared" ref="U3" si="4">U2/T2-1</f>
        <v>-9.0771558245081874E-3</v>
      </c>
      <c r="V3" s="50">
        <f t="shared" ref="V3" si="5">V2/U2-1</f>
        <v>7.1755725190839836E-2</v>
      </c>
      <c r="W3" s="50">
        <f t="shared" ref="W3" si="6">W2/V2-1</f>
        <v>1.8518518518518379E-2</v>
      </c>
      <c r="Y3" s="118" t="s">
        <v>33</v>
      </c>
      <c r="Z3" s="118" t="s">
        <v>33</v>
      </c>
      <c r="AA3" s="118" t="s">
        <v>33</v>
      </c>
      <c r="AB3" s="231" t="s">
        <v>33</v>
      </c>
      <c r="AC3" s="231" t="s">
        <v>33</v>
      </c>
    </row>
    <row r="4" spans="1:31" x14ac:dyDescent="0.25">
      <c r="B4" s="27" t="s">
        <v>74</v>
      </c>
      <c r="C4" s="24" t="s">
        <v>33</v>
      </c>
      <c r="D4" s="24" t="s">
        <v>33</v>
      </c>
      <c r="E4" s="24" t="s">
        <v>33</v>
      </c>
      <c r="F4" s="24" t="s">
        <v>33</v>
      </c>
      <c r="G4" s="32">
        <f t="shared" ref="G4:Q4" si="7">G2/C2-1</f>
        <v>0.39416058394160602</v>
      </c>
      <c r="H4" s="28">
        <f t="shared" si="7"/>
        <v>0.49367088607594933</v>
      </c>
      <c r="I4" s="28">
        <f t="shared" si="7"/>
        <v>0.95321637426900563</v>
      </c>
      <c r="J4" s="28">
        <f t="shared" si="7"/>
        <v>0.96739130434782639</v>
      </c>
      <c r="K4" s="32">
        <f t="shared" si="7"/>
        <v>0.94240837696335067</v>
      </c>
      <c r="L4" s="28">
        <f t="shared" si="7"/>
        <v>0.78389830508474567</v>
      </c>
      <c r="M4" s="28">
        <f t="shared" si="7"/>
        <v>0.29341317365269481</v>
      </c>
      <c r="N4" s="28">
        <f t="shared" si="7"/>
        <v>0.30662983425414336</v>
      </c>
      <c r="O4" s="32">
        <f t="shared" si="7"/>
        <v>0.33423180592991919</v>
      </c>
      <c r="P4" s="50">
        <f t="shared" si="7"/>
        <v>0.28503562945368177</v>
      </c>
      <c r="Q4" s="50">
        <f t="shared" si="7"/>
        <v>0.20833333333333326</v>
      </c>
      <c r="R4" s="50">
        <f t="shared" ref="R4" si="8">R2/N2-1</f>
        <v>0.24312896405919671</v>
      </c>
      <c r="S4" s="50">
        <f t="shared" ref="S4" si="9">S2/O2-1</f>
        <v>0.18787878787878776</v>
      </c>
      <c r="T4" s="50">
        <f t="shared" ref="T4" si="10">T2/P2-1</f>
        <v>0.22181146025877996</v>
      </c>
      <c r="U4" s="50">
        <f t="shared" ref="U4" si="11">U2/Q2-1</f>
        <v>0.25478927203065127</v>
      </c>
      <c r="V4" s="50">
        <f t="shared" ref="V4" si="12">V2/R2-1</f>
        <v>0.19387755102040827</v>
      </c>
      <c r="W4" s="50">
        <f t="shared" ref="W4" si="13">W2/S2-1</f>
        <v>0.21598639455782309</v>
      </c>
      <c r="Y4" s="132" t="s">
        <v>33</v>
      </c>
      <c r="Z4" s="28">
        <f>Z2/Y2-1</f>
        <v>0.85085227272727271</v>
      </c>
      <c r="AA4" s="28">
        <f>AA2/Z2-1</f>
        <v>0.3975441289332311</v>
      </c>
      <c r="AB4" s="250">
        <f>AB2/AA2-1</f>
        <v>0.22954420647995599</v>
      </c>
      <c r="AC4" s="250">
        <f>AC2/AB2-1</f>
        <v>0.22063421170165243</v>
      </c>
    </row>
    <row r="5" spans="1:31" x14ac:dyDescent="0.25">
      <c r="B5" s="27"/>
      <c r="C5" s="24"/>
      <c r="D5" s="24"/>
      <c r="E5" s="24"/>
      <c r="F5" s="24"/>
      <c r="G5" s="28"/>
      <c r="H5" s="28"/>
      <c r="I5" s="28"/>
      <c r="J5" s="28"/>
      <c r="K5" s="28"/>
      <c r="L5" s="28"/>
      <c r="M5" s="28"/>
      <c r="N5" s="28"/>
      <c r="O5" s="28"/>
      <c r="P5" s="49"/>
      <c r="Q5" s="49"/>
      <c r="R5" s="49"/>
      <c r="S5" s="49"/>
      <c r="Y5" s="36"/>
      <c r="Z5" s="36"/>
      <c r="AA5" s="36"/>
      <c r="AB5" s="251"/>
    </row>
    <row r="6" spans="1:31" x14ac:dyDescent="0.25">
      <c r="B6" s="294" t="s">
        <v>75</v>
      </c>
      <c r="C6" s="24" t="s">
        <v>33</v>
      </c>
      <c r="D6" s="22">
        <v>9</v>
      </c>
      <c r="E6" s="22">
        <v>9.9</v>
      </c>
      <c r="F6" s="22">
        <v>10.8</v>
      </c>
      <c r="G6" s="22">
        <v>11</v>
      </c>
      <c r="H6" s="22">
        <v>13.3</v>
      </c>
      <c r="I6" s="22">
        <v>17.899999999999999</v>
      </c>
      <c r="J6" s="22">
        <v>19.3</v>
      </c>
      <c r="K6" s="22">
        <v>19.5</v>
      </c>
      <c r="L6" s="22">
        <v>21.3</v>
      </c>
      <c r="M6" s="22">
        <v>21.5</v>
      </c>
      <c r="N6" s="22">
        <v>23.1</v>
      </c>
      <c r="O6" s="22">
        <v>23.6</v>
      </c>
      <c r="P6" s="49">
        <v>25.5</v>
      </c>
      <c r="Q6" s="49">
        <v>24.2</v>
      </c>
      <c r="R6" s="49">
        <v>26.4</v>
      </c>
      <c r="S6" s="49">
        <v>26</v>
      </c>
      <c r="T6" s="22">
        <v>28.7</v>
      </c>
      <c r="U6" s="22">
        <v>28.2</v>
      </c>
      <c r="V6" s="22">
        <v>29.7</v>
      </c>
      <c r="Y6" s="36">
        <f>AVERAGE(D6:G6)</f>
        <v>10.175000000000001</v>
      </c>
      <c r="Z6" s="36">
        <f>AVERAGE(H6:K6)</f>
        <v>17.5</v>
      </c>
      <c r="AA6" s="36">
        <f>AVERAGE(L6:O6)</f>
        <v>22.375</v>
      </c>
      <c r="AB6" s="3">
        <f>AVERAGE(P6:S6)</f>
        <v>25.524999999999999</v>
      </c>
    </row>
    <row r="7" spans="1:31" x14ac:dyDescent="0.25">
      <c r="B7" s="27" t="s">
        <v>77</v>
      </c>
      <c r="C7" s="24" t="s">
        <v>33</v>
      </c>
      <c r="D7" s="24" t="s">
        <v>33</v>
      </c>
      <c r="E7" s="28">
        <f t="shared" ref="E7:P7" si="14">E6/D6-1</f>
        <v>0.10000000000000009</v>
      </c>
      <c r="F7" s="28">
        <f t="shared" si="14"/>
        <v>9.090909090909105E-2</v>
      </c>
      <c r="G7" s="28">
        <f t="shared" si="14"/>
        <v>1.8518518518518379E-2</v>
      </c>
      <c r="H7" s="28">
        <f t="shared" si="14"/>
        <v>0.20909090909090922</v>
      </c>
      <c r="I7" s="28">
        <f t="shared" si="14"/>
        <v>0.34586466165413521</v>
      </c>
      <c r="J7" s="28">
        <f t="shared" si="14"/>
        <v>7.8212290502793325E-2</v>
      </c>
      <c r="K7" s="28">
        <f t="shared" si="14"/>
        <v>1.0362694300518172E-2</v>
      </c>
      <c r="L7" s="28">
        <f t="shared" si="14"/>
        <v>9.2307692307692424E-2</v>
      </c>
      <c r="M7" s="28">
        <f t="shared" si="14"/>
        <v>9.3896713615022609E-3</v>
      </c>
      <c r="N7" s="28">
        <f t="shared" si="14"/>
        <v>7.441860465116279E-2</v>
      </c>
      <c r="O7" s="28">
        <f t="shared" si="14"/>
        <v>2.1645021645021689E-2</v>
      </c>
      <c r="P7" s="28">
        <f t="shared" si="14"/>
        <v>8.0508474576271194E-2</v>
      </c>
      <c r="Q7" s="28">
        <f t="shared" ref="Q7:R7" si="15">Q6/P6-1</f>
        <v>-5.0980392156862786E-2</v>
      </c>
      <c r="R7" s="28">
        <f t="shared" si="15"/>
        <v>9.0909090909090828E-2</v>
      </c>
      <c r="S7" s="28">
        <f t="shared" ref="S7" si="16">S6/R6-1</f>
        <v>-1.5151515151515138E-2</v>
      </c>
      <c r="T7" s="28">
        <f t="shared" ref="T7" si="17">T6/S6-1</f>
        <v>0.10384615384615392</v>
      </c>
      <c r="U7" s="28">
        <f t="shared" ref="U7" si="18">U6/T6-1</f>
        <v>-1.7421602787456414E-2</v>
      </c>
      <c r="V7" s="28">
        <f t="shared" ref="V7" si="19">V6/U6-1</f>
        <v>5.3191489361702038E-2</v>
      </c>
      <c r="Y7" s="118" t="s">
        <v>33</v>
      </c>
      <c r="Z7" s="118" t="s">
        <v>33</v>
      </c>
      <c r="AA7" s="118" t="s">
        <v>33</v>
      </c>
      <c r="AB7" s="231" t="s">
        <v>33</v>
      </c>
    </row>
    <row r="8" spans="1:31" x14ac:dyDescent="0.25">
      <c r="B8" s="27" t="s">
        <v>78</v>
      </c>
      <c r="C8" s="24" t="s">
        <v>33</v>
      </c>
      <c r="D8" s="24" t="s">
        <v>33</v>
      </c>
      <c r="E8" s="24" t="s">
        <v>33</v>
      </c>
      <c r="F8" s="24" t="s">
        <v>33</v>
      </c>
      <c r="G8" s="24" t="s">
        <v>33</v>
      </c>
      <c r="H8" s="28">
        <f t="shared" ref="H8:P8" si="20">H6/D6-1</f>
        <v>0.47777777777777786</v>
      </c>
      <c r="I8" s="28">
        <f t="shared" si="20"/>
        <v>0.80808080808080796</v>
      </c>
      <c r="J8" s="28">
        <f t="shared" si="20"/>
        <v>0.78703703703703698</v>
      </c>
      <c r="K8" s="32">
        <f t="shared" si="20"/>
        <v>0.77272727272727271</v>
      </c>
      <c r="L8" s="28">
        <f t="shared" si="20"/>
        <v>0.60150375939849621</v>
      </c>
      <c r="M8" s="28">
        <f t="shared" si="20"/>
        <v>0.2011173184357542</v>
      </c>
      <c r="N8" s="28">
        <f t="shared" si="20"/>
        <v>0.19689119170984459</v>
      </c>
      <c r="O8" s="32">
        <f t="shared" si="20"/>
        <v>0.2102564102564104</v>
      </c>
      <c r="P8" s="32">
        <f t="shared" si="20"/>
        <v>0.19718309859154926</v>
      </c>
      <c r="Q8" s="32">
        <f t="shared" ref="Q8:R8" si="21">Q6/M6-1</f>
        <v>0.12558139534883717</v>
      </c>
      <c r="R8" s="32">
        <f t="shared" si="21"/>
        <v>0.14285714285714279</v>
      </c>
      <c r="S8" s="32">
        <f t="shared" ref="S8" si="22">S6/O6-1</f>
        <v>0.10169491525423724</v>
      </c>
      <c r="T8" s="32">
        <f t="shared" ref="T8" si="23">T6/P6-1</f>
        <v>0.12549019607843137</v>
      </c>
      <c r="U8" s="32">
        <f t="shared" ref="U8" si="24">U6/Q6-1</f>
        <v>0.16528925619834722</v>
      </c>
      <c r="V8" s="32">
        <f t="shared" ref="V8" si="25">V6/R6-1</f>
        <v>0.125</v>
      </c>
      <c r="Y8" s="132" t="s">
        <v>33</v>
      </c>
      <c r="Z8" s="28">
        <f>Z6/Y6-1</f>
        <v>0.71990171990171969</v>
      </c>
      <c r="AA8" s="28">
        <f>AA6/Z6-1</f>
        <v>0.27857142857142847</v>
      </c>
      <c r="AB8" s="250">
        <f>AB6/AA6-1</f>
        <v>0.1407821229050279</v>
      </c>
    </row>
    <row r="9" spans="1:31" x14ac:dyDescent="0.25">
      <c r="B9" s="27"/>
      <c r="C9" s="24"/>
      <c r="P9" s="49"/>
      <c r="Q9" s="49"/>
      <c r="R9" s="49"/>
      <c r="S9" s="49"/>
      <c r="Y9" s="36"/>
      <c r="Z9" s="36"/>
      <c r="AA9" s="36"/>
      <c r="AB9" s="251"/>
    </row>
    <row r="10" spans="1:31" x14ac:dyDescent="0.25">
      <c r="B10" s="294" t="s">
        <v>76</v>
      </c>
      <c r="C10" s="24" t="s">
        <v>33</v>
      </c>
      <c r="D10" s="22">
        <v>6.4</v>
      </c>
      <c r="E10" s="22">
        <v>6.7</v>
      </c>
      <c r="F10" s="22">
        <v>7.1</v>
      </c>
      <c r="G10" s="22">
        <v>7.7</v>
      </c>
      <c r="H10" s="22">
        <v>9.6999999999999993</v>
      </c>
      <c r="I10" s="22">
        <v>7.7</v>
      </c>
      <c r="J10" s="22">
        <v>9.6999999999999993</v>
      </c>
      <c r="K10" s="22">
        <v>16.100000000000001</v>
      </c>
      <c r="L10" s="22">
        <v>17.2</v>
      </c>
      <c r="M10" s="22">
        <v>21.4</v>
      </c>
      <c r="N10" s="22">
        <v>23.8</v>
      </c>
      <c r="O10" s="22">
        <v>25.6</v>
      </c>
      <c r="P10" s="49">
        <v>28.3</v>
      </c>
      <c r="Q10" s="49">
        <v>27.7</v>
      </c>
      <c r="R10" s="49">
        <v>31.9</v>
      </c>
      <c r="S10" s="49">
        <v>32.4</v>
      </c>
      <c r="T10" s="22">
        <v>36.9</v>
      </c>
      <c r="U10" s="22">
        <v>36.799999999999997</v>
      </c>
      <c r="V10" s="22">
        <v>40</v>
      </c>
      <c r="Y10" s="36">
        <f>AVERAGE(D10:G10)</f>
        <v>6.9750000000000005</v>
      </c>
      <c r="Z10" s="36">
        <f>AVERAGE(H10:K10)</f>
        <v>10.8</v>
      </c>
      <c r="AA10" s="36">
        <f>AVERAGE(L10:O10)</f>
        <v>22</v>
      </c>
      <c r="AB10" s="3">
        <f>AVERAGE(P10:S10)</f>
        <v>30.075000000000003</v>
      </c>
    </row>
    <row r="11" spans="1:31" x14ac:dyDescent="0.25">
      <c r="B11" s="27" t="s">
        <v>79</v>
      </c>
      <c r="C11" s="24" t="s">
        <v>33</v>
      </c>
      <c r="D11" s="24" t="s">
        <v>33</v>
      </c>
      <c r="E11" s="28">
        <f t="shared" ref="E11:P11" si="26">E10/D10-1</f>
        <v>4.6875E-2</v>
      </c>
      <c r="F11" s="28">
        <f t="shared" si="26"/>
        <v>5.9701492537313383E-2</v>
      </c>
      <c r="G11" s="28">
        <f t="shared" si="26"/>
        <v>8.4507042253521236E-2</v>
      </c>
      <c r="H11" s="28">
        <f t="shared" si="26"/>
        <v>0.2597402597402596</v>
      </c>
      <c r="I11" s="28">
        <f t="shared" si="26"/>
        <v>-0.20618556701030921</v>
      </c>
      <c r="J11" s="28">
        <f t="shared" si="26"/>
        <v>0.2597402597402596</v>
      </c>
      <c r="K11" s="28">
        <f t="shared" si="26"/>
        <v>0.65979381443299001</v>
      </c>
      <c r="L11" s="28">
        <f t="shared" si="26"/>
        <v>6.8322981366459423E-2</v>
      </c>
      <c r="M11" s="28">
        <f t="shared" si="26"/>
        <v>0.2441860465116279</v>
      </c>
      <c r="N11" s="28">
        <f t="shared" si="26"/>
        <v>0.11214953271028039</v>
      </c>
      <c r="O11" s="28">
        <f t="shared" si="26"/>
        <v>7.5630252100840289E-2</v>
      </c>
      <c r="P11" s="28">
        <f t="shared" si="26"/>
        <v>0.10546875</v>
      </c>
      <c r="Q11" s="28">
        <f t="shared" ref="Q11:R11" si="27">Q10/P10-1</f>
        <v>-2.1201413427561877E-2</v>
      </c>
      <c r="R11" s="28">
        <f t="shared" si="27"/>
        <v>0.15162454873646203</v>
      </c>
      <c r="S11" s="28">
        <f t="shared" ref="S11" si="28">S10/R10-1</f>
        <v>1.5673981191222541E-2</v>
      </c>
      <c r="T11" s="28">
        <f t="shared" ref="T11" si="29">T10/S10-1</f>
        <v>0.13888888888888884</v>
      </c>
      <c r="U11" s="28">
        <f t="shared" ref="U11" si="30">U10/T10-1</f>
        <v>-2.7100271002710175E-3</v>
      </c>
      <c r="V11" s="28">
        <f t="shared" ref="V11" si="31">V10/U10-1</f>
        <v>8.6956521739130599E-2</v>
      </c>
      <c r="Y11" s="118" t="s">
        <v>33</v>
      </c>
      <c r="Z11" s="118" t="s">
        <v>33</v>
      </c>
      <c r="AA11" s="118" t="s">
        <v>33</v>
      </c>
      <c r="AB11" s="231" t="s">
        <v>33</v>
      </c>
    </row>
    <row r="12" spans="1:31" x14ac:dyDescent="0.25">
      <c r="B12" s="27" t="s">
        <v>80</v>
      </c>
      <c r="C12" s="24" t="s">
        <v>33</v>
      </c>
      <c r="D12" s="24" t="s">
        <v>33</v>
      </c>
      <c r="E12" s="24" t="s">
        <v>33</v>
      </c>
      <c r="F12" s="24" t="s">
        <v>33</v>
      </c>
      <c r="G12" s="24" t="s">
        <v>33</v>
      </c>
      <c r="H12" s="28">
        <f t="shared" ref="H12:P12" si="32">H10/D10-1</f>
        <v>0.51562499999999978</v>
      </c>
      <c r="I12" s="28">
        <f t="shared" si="32"/>
        <v>0.14925373134328357</v>
      </c>
      <c r="J12" s="28">
        <f t="shared" si="32"/>
        <v>0.36619718309859151</v>
      </c>
      <c r="K12" s="32">
        <f t="shared" si="32"/>
        <v>1.0909090909090908</v>
      </c>
      <c r="L12" s="28">
        <f t="shared" si="32"/>
        <v>0.77319587628865993</v>
      </c>
      <c r="M12" s="28">
        <f t="shared" si="32"/>
        <v>1.779220779220779</v>
      </c>
      <c r="N12" s="28">
        <f t="shared" si="32"/>
        <v>1.4536082474226806</v>
      </c>
      <c r="O12" s="32">
        <f t="shared" si="32"/>
        <v>0.59006211180124213</v>
      </c>
      <c r="P12" s="32">
        <f t="shared" si="32"/>
        <v>0.64534883720930236</v>
      </c>
      <c r="Q12" s="32">
        <f t="shared" ref="Q12:R12" si="33">Q10/M10-1</f>
        <v>0.29439252336448596</v>
      </c>
      <c r="R12" s="32">
        <f t="shared" si="33"/>
        <v>0.34033613445378141</v>
      </c>
      <c r="S12" s="32">
        <f t="shared" ref="S12" si="34">S10/O10-1</f>
        <v>0.26562499999999978</v>
      </c>
      <c r="T12" s="32">
        <f t="shared" ref="T12" si="35">T10/P10-1</f>
        <v>0.30388692579505294</v>
      </c>
      <c r="U12" s="32">
        <f t="shared" ref="U12" si="36">U10/Q10-1</f>
        <v>0.32851985559566788</v>
      </c>
      <c r="V12" s="32">
        <f t="shared" ref="V12" si="37">V10/R10-1</f>
        <v>0.25391849529780575</v>
      </c>
      <c r="Y12" s="132" t="s">
        <v>33</v>
      </c>
      <c r="Z12" s="28">
        <f>Z10/Y10-1</f>
        <v>0.54838709677419351</v>
      </c>
      <c r="AA12" s="28">
        <f>AA10/Z10-1</f>
        <v>1.0370370370370368</v>
      </c>
      <c r="AB12" s="250">
        <f>AB10/AA10-1</f>
        <v>0.36704545454545467</v>
      </c>
    </row>
    <row r="13" spans="1:31" x14ac:dyDescent="0.25">
      <c r="B13" s="27"/>
      <c r="P13" s="49"/>
      <c r="Q13" s="49"/>
      <c r="R13" s="49"/>
      <c r="S13" s="49"/>
      <c r="Y13" s="36"/>
      <c r="Z13" s="36"/>
      <c r="AA13" s="36"/>
    </row>
    <row r="14" spans="1:31" x14ac:dyDescent="0.25">
      <c r="A14" s="30" t="s">
        <v>86</v>
      </c>
      <c r="B14" s="26" t="s">
        <v>83</v>
      </c>
      <c r="C14" s="31">
        <v>2530</v>
      </c>
      <c r="D14" s="31">
        <v>2974</v>
      </c>
      <c r="E14" s="31">
        <v>3248</v>
      </c>
      <c r="F14" s="31">
        <v>3730</v>
      </c>
      <c r="G14" s="31">
        <v>3701</v>
      </c>
      <c r="H14" s="31">
        <v>4875</v>
      </c>
      <c r="I14" s="31">
        <v>8586</v>
      </c>
      <c r="J14" s="31">
        <v>8711</v>
      </c>
      <c r="K14" s="31">
        <v>8430</v>
      </c>
      <c r="L14" s="31">
        <v>9674</v>
      </c>
      <c r="M14" s="31">
        <v>9738</v>
      </c>
      <c r="N14" s="31">
        <v>11184</v>
      </c>
      <c r="O14" s="31">
        <v>10818</v>
      </c>
      <c r="P14" s="31">
        <f>O14*1.12</f>
        <v>12116.160000000002</v>
      </c>
      <c r="Q14" s="31">
        <v>11924</v>
      </c>
      <c r="R14" s="31">
        <v>13400</v>
      </c>
      <c r="S14" s="31">
        <v>12800</v>
      </c>
      <c r="T14" s="31">
        <v>14500</v>
      </c>
      <c r="U14" s="31">
        <v>14000</v>
      </c>
      <c r="V14" s="31">
        <v>16000</v>
      </c>
      <c r="W14" s="31">
        <v>15500</v>
      </c>
      <c r="Y14" s="119">
        <f>AVERAGE(D14:G14)</f>
        <v>3413.25</v>
      </c>
      <c r="Z14" s="119">
        <f>AVERAGE(K14:N14)</f>
        <v>9756.5</v>
      </c>
      <c r="AA14" s="119">
        <f>AVERAGE(L14:O14)</f>
        <v>10353.5</v>
      </c>
      <c r="AB14" s="252">
        <f>AVERAGE(P14:S14)</f>
        <v>12560.04</v>
      </c>
      <c r="AC14" s="343">
        <f>AVERAGE(T14:W14)</f>
        <v>15000</v>
      </c>
    </row>
    <row r="15" spans="1:31" x14ac:dyDescent="0.25">
      <c r="B15" s="27" t="s">
        <v>84</v>
      </c>
      <c r="C15" s="24" t="s">
        <v>33</v>
      </c>
      <c r="D15" s="28">
        <f t="shared" ref="D15:P15" si="38">D14/C14-1</f>
        <v>0.17549407114624516</v>
      </c>
      <c r="E15" s="28">
        <f t="shared" si="38"/>
        <v>9.2131809011432475E-2</v>
      </c>
      <c r="F15" s="28">
        <f t="shared" si="38"/>
        <v>0.14839901477832518</v>
      </c>
      <c r="G15" s="28">
        <f t="shared" si="38"/>
        <v>-7.7747989276139018E-3</v>
      </c>
      <c r="H15" s="28">
        <f t="shared" si="38"/>
        <v>0.31721156444204279</v>
      </c>
      <c r="I15" s="28">
        <f t="shared" si="38"/>
        <v>0.76123076923076916</v>
      </c>
      <c r="J15" s="28">
        <f t="shared" si="38"/>
        <v>1.455858374097363E-2</v>
      </c>
      <c r="K15" s="28">
        <f t="shared" si="38"/>
        <v>-3.2258064516129004E-2</v>
      </c>
      <c r="L15" s="28">
        <f t="shared" si="38"/>
        <v>0.14756820877817312</v>
      </c>
      <c r="M15" s="28">
        <f t="shared" si="38"/>
        <v>6.6156708703741796E-3</v>
      </c>
      <c r="N15" s="28">
        <f t="shared" si="38"/>
        <v>0.14849044978435</v>
      </c>
      <c r="O15" s="28">
        <f t="shared" si="38"/>
        <v>-3.272532188841204E-2</v>
      </c>
      <c r="P15" s="28">
        <f t="shared" si="38"/>
        <v>0.12000000000000011</v>
      </c>
      <c r="Q15" s="28">
        <f t="shared" ref="Q15" si="39">Q14/P14-1</f>
        <v>-1.5859810368961891E-2</v>
      </c>
      <c r="R15" s="28">
        <f t="shared" ref="R15" si="40">R14/Q14-1</f>
        <v>0.12378396511237844</v>
      </c>
      <c r="S15" s="28">
        <f t="shared" ref="S15" si="41">S14/R14-1</f>
        <v>-4.4776119402985093E-2</v>
      </c>
      <c r="T15" s="28">
        <f t="shared" ref="T15" si="42">T14/S14-1</f>
        <v>0.1328125</v>
      </c>
      <c r="U15" s="28">
        <f t="shared" ref="U15" si="43">U14/T14-1</f>
        <v>-3.4482758620689613E-2</v>
      </c>
      <c r="V15" s="28">
        <f t="shared" ref="V15" si="44">V14/U14-1</f>
        <v>0.14285714285714279</v>
      </c>
      <c r="W15" s="28">
        <f t="shared" ref="W15" si="45">W14/V14-1</f>
        <v>-3.125E-2</v>
      </c>
      <c r="Y15" s="118" t="s">
        <v>33</v>
      </c>
      <c r="Z15" s="118" t="s">
        <v>33</v>
      </c>
      <c r="AA15" s="118" t="s">
        <v>33</v>
      </c>
      <c r="AB15" s="231" t="s">
        <v>33</v>
      </c>
      <c r="AC15" s="231" t="s">
        <v>33</v>
      </c>
    </row>
    <row r="16" spans="1:31" x14ac:dyDescent="0.25">
      <c r="B16" s="27" t="s">
        <v>85</v>
      </c>
      <c r="C16" s="24" t="s">
        <v>33</v>
      </c>
      <c r="D16" s="24" t="s">
        <v>33</v>
      </c>
      <c r="E16" s="24" t="s">
        <v>33</v>
      </c>
      <c r="F16" s="24" t="s">
        <v>33</v>
      </c>
      <c r="G16" s="32">
        <f t="shared" ref="G16:P16" si="46">G14/C14-1</f>
        <v>0.46284584980237153</v>
      </c>
      <c r="H16" s="28">
        <f t="shared" si="46"/>
        <v>0.63920645595158043</v>
      </c>
      <c r="I16" s="28">
        <f t="shared" si="46"/>
        <v>1.6434729064039408</v>
      </c>
      <c r="J16" s="28">
        <f t="shared" si="46"/>
        <v>1.3353887399463806</v>
      </c>
      <c r="K16" s="32">
        <f t="shared" si="46"/>
        <v>1.2777627668197784</v>
      </c>
      <c r="L16" s="28">
        <f t="shared" si="46"/>
        <v>0.98441025641025637</v>
      </c>
      <c r="M16" s="28">
        <f t="shared" si="46"/>
        <v>0.13417190775681331</v>
      </c>
      <c r="N16" s="28">
        <f t="shared" si="46"/>
        <v>0.28389392721845952</v>
      </c>
      <c r="O16" s="32">
        <f t="shared" si="46"/>
        <v>0.28327402135231328</v>
      </c>
      <c r="P16" s="120">
        <f t="shared" si="46"/>
        <v>0.25244573082489175</v>
      </c>
      <c r="Q16" s="120">
        <f t="shared" ref="Q16" si="47">Q14/M14-1</f>
        <v>0.22448141302115432</v>
      </c>
      <c r="R16" s="120">
        <f t="shared" ref="R16" si="48">R14/N14-1</f>
        <v>0.198140200286123</v>
      </c>
      <c r="S16" s="32">
        <f t="shared" ref="S16" si="49">S14/O14-1</f>
        <v>0.1832131632464411</v>
      </c>
      <c r="T16" s="120">
        <f t="shared" ref="T16" si="50">T14/P14-1</f>
        <v>0.19674880490188285</v>
      </c>
      <c r="U16" s="120">
        <f>U14/Q14-1</f>
        <v>0.17410265011741033</v>
      </c>
      <c r="V16" s="120">
        <f t="shared" ref="V16" si="51">V14/R14-1</f>
        <v>0.19402985074626855</v>
      </c>
      <c r="W16" s="120">
        <f t="shared" ref="W16" si="52">W14/S14-1</f>
        <v>0.2109375</v>
      </c>
      <c r="Y16" s="132" t="s">
        <v>33</v>
      </c>
      <c r="Z16" s="28">
        <f>Z14/Y14-1</f>
        <v>1.8584193950047609</v>
      </c>
      <c r="AA16" s="28">
        <f>AA14/Z14-1</f>
        <v>6.1189975913493511E-2</v>
      </c>
      <c r="AB16" s="250">
        <f>AB14/AA14-1</f>
        <v>0.21312020089824713</v>
      </c>
      <c r="AC16" s="250">
        <f>AC14/AB14-1</f>
        <v>0.19426371253594721</v>
      </c>
    </row>
    <row r="17" spans="1:27" x14ac:dyDescent="0.25">
      <c r="P17" s="49"/>
      <c r="Q17" s="49"/>
      <c r="R17" s="49"/>
      <c r="S17" s="49"/>
    </row>
    <row r="18" spans="1:27" x14ac:dyDescent="0.25">
      <c r="A18" s="30" t="s">
        <v>173</v>
      </c>
      <c r="B18" s="1" t="s">
        <v>172</v>
      </c>
      <c r="C18" s="22">
        <v>10.44</v>
      </c>
      <c r="D18" s="22">
        <v>8.98</v>
      </c>
      <c r="E18" s="22">
        <v>8.7799999999999994</v>
      </c>
      <c r="F18" s="22">
        <v>9</v>
      </c>
      <c r="G18" s="22">
        <v>12.37</v>
      </c>
      <c r="H18" s="22">
        <v>10.58</v>
      </c>
      <c r="I18" s="22">
        <v>14.81</v>
      </c>
      <c r="J18" s="22">
        <v>13.73</v>
      </c>
      <c r="K18" s="22">
        <v>17.3</v>
      </c>
      <c r="L18" s="22">
        <v>15.48</v>
      </c>
      <c r="M18" s="22">
        <v>15.41</v>
      </c>
      <c r="N18" s="22">
        <v>13.49</v>
      </c>
      <c r="O18" s="22">
        <v>15.56</v>
      </c>
      <c r="P18" s="49">
        <v>11.67</v>
      </c>
      <c r="Q18" s="49">
        <v>12.25</v>
      </c>
      <c r="R18" s="49">
        <v>11.94</v>
      </c>
      <c r="S18" s="49">
        <v>15.29</v>
      </c>
      <c r="T18" s="101">
        <v>11.7</v>
      </c>
      <c r="U18" s="22">
        <v>11.92</v>
      </c>
      <c r="V18" s="22">
        <v>11.96</v>
      </c>
      <c r="W18" s="22">
        <v>15.75</v>
      </c>
      <c r="AA18" s="119"/>
    </row>
    <row r="19" spans="1:27" x14ac:dyDescent="0.25">
      <c r="A19" s="30" t="s">
        <v>175</v>
      </c>
      <c r="B19" s="135" t="s">
        <v>174</v>
      </c>
      <c r="C19" s="136">
        <f t="shared" ref="C19:O19" si="53">C2*C18</f>
        <v>143.02799999999999</v>
      </c>
      <c r="D19" s="136">
        <f t="shared" si="53"/>
        <v>141.88400000000001</v>
      </c>
      <c r="E19" s="136">
        <f t="shared" si="53"/>
        <v>150.13800000000001</v>
      </c>
      <c r="F19" s="136">
        <f t="shared" si="53"/>
        <v>165.6</v>
      </c>
      <c r="G19" s="136">
        <f t="shared" si="53"/>
        <v>236.267</v>
      </c>
      <c r="H19" s="136">
        <f t="shared" si="53"/>
        <v>249.68800000000002</v>
      </c>
      <c r="I19" s="136">
        <f t="shared" si="53"/>
        <v>494.654</v>
      </c>
      <c r="J19" s="136">
        <f t="shared" si="53"/>
        <v>497.02600000000007</v>
      </c>
      <c r="K19" s="136">
        <f t="shared" si="53"/>
        <v>641.83000000000004</v>
      </c>
      <c r="L19" s="136">
        <f t="shared" si="53"/>
        <v>651.70800000000008</v>
      </c>
      <c r="M19" s="136">
        <f t="shared" si="53"/>
        <v>665.7120000000001</v>
      </c>
      <c r="N19" s="136">
        <f t="shared" si="53"/>
        <v>638.077</v>
      </c>
      <c r="O19" s="136">
        <f t="shared" si="53"/>
        <v>770.22</v>
      </c>
      <c r="P19" s="136">
        <f>P2*P18</f>
        <v>631.34699999999998</v>
      </c>
      <c r="Q19" s="136">
        <f>Q2*Q18</f>
        <v>639.45000000000005</v>
      </c>
      <c r="R19" s="136">
        <f t="shared" ref="R19:U19" si="54">R2*R18</f>
        <v>702.07199999999989</v>
      </c>
      <c r="S19" s="136">
        <f t="shared" si="54"/>
        <v>899.05199999999991</v>
      </c>
      <c r="T19" s="136">
        <f t="shared" si="54"/>
        <v>773.36999999999989</v>
      </c>
      <c r="U19" s="136">
        <f t="shared" si="54"/>
        <v>780.76</v>
      </c>
      <c r="V19" s="136">
        <f t="shared" ref="V19:W19" si="55">V2*V18</f>
        <v>839.5920000000001</v>
      </c>
      <c r="W19" s="36">
        <f t="shared" si="55"/>
        <v>1126.125</v>
      </c>
      <c r="AA19" s="119"/>
    </row>
    <row r="20" spans="1:27" x14ac:dyDescent="0.25">
      <c r="A20" s="30"/>
      <c r="B20" s="167" t="s">
        <v>202</v>
      </c>
      <c r="C20" s="24" t="s">
        <v>33</v>
      </c>
      <c r="D20" s="168">
        <f t="shared" ref="D20:P20" si="56">D18/C18-1</f>
        <v>-0.13984674329501912</v>
      </c>
      <c r="E20" s="168">
        <f t="shared" si="56"/>
        <v>-2.2271714922049157E-2</v>
      </c>
      <c r="F20" s="168">
        <f t="shared" si="56"/>
        <v>2.5056947608200542E-2</v>
      </c>
      <c r="G20" s="168">
        <f t="shared" si="56"/>
        <v>0.37444444444444436</v>
      </c>
      <c r="H20" s="168">
        <f t="shared" si="56"/>
        <v>-0.14470493128536777</v>
      </c>
      <c r="I20" s="168">
        <f t="shared" si="56"/>
        <v>0.39981096408317573</v>
      </c>
      <c r="J20" s="168">
        <f t="shared" si="56"/>
        <v>-7.2923700202565889E-2</v>
      </c>
      <c r="K20" s="168">
        <f t="shared" si="56"/>
        <v>0.26001456664238898</v>
      </c>
      <c r="L20" s="168">
        <f t="shared" si="56"/>
        <v>-0.10520231213872833</v>
      </c>
      <c r="M20" s="168">
        <f t="shared" si="56"/>
        <v>-4.5219638242893767E-3</v>
      </c>
      <c r="N20" s="168">
        <f t="shared" si="56"/>
        <v>-0.12459441920830627</v>
      </c>
      <c r="O20" s="168">
        <f t="shared" si="56"/>
        <v>0.15344699777613058</v>
      </c>
      <c r="P20" s="168">
        <f t="shared" si="56"/>
        <v>-0.25</v>
      </c>
      <c r="Q20" s="168">
        <f>Q18/P18-1</f>
        <v>4.9700085689802886E-2</v>
      </c>
      <c r="R20" s="168">
        <f t="shared" ref="R20" si="57">R18/Q18-1</f>
        <v>-2.5306122448979673E-2</v>
      </c>
      <c r="S20" s="273">
        <f t="shared" ref="S20" si="58">S18/R18-1</f>
        <v>0.28056951423785592</v>
      </c>
      <c r="T20" s="273">
        <f t="shared" ref="T20" si="59">T18/S18-1</f>
        <v>-0.23479398299542187</v>
      </c>
      <c r="U20" s="273">
        <f t="shared" ref="U20" si="60">U18/T18-1</f>
        <v>1.8803418803418959E-2</v>
      </c>
      <c r="V20" s="273">
        <f t="shared" ref="V20" si="61">V18/U18-1</f>
        <v>3.3557046979866278E-3</v>
      </c>
      <c r="W20" s="273">
        <f t="shared" ref="W20" si="62">W18/V18-1</f>
        <v>0.31688963210702337</v>
      </c>
      <c r="AA20" s="119"/>
    </row>
    <row r="21" spans="1:27" x14ac:dyDescent="0.25">
      <c r="A21" s="30"/>
      <c r="B21" s="167" t="s">
        <v>201</v>
      </c>
      <c r="C21" s="24" t="s">
        <v>33</v>
      </c>
      <c r="D21" s="24" t="s">
        <v>33</v>
      </c>
      <c r="E21" s="24" t="s">
        <v>33</v>
      </c>
      <c r="F21" s="24" t="s">
        <v>33</v>
      </c>
      <c r="G21" s="168">
        <f t="shared" ref="G21:P21" si="63">G18/C18-1</f>
        <v>0.18486590038314166</v>
      </c>
      <c r="H21" s="168">
        <f t="shared" si="63"/>
        <v>0.17817371937639193</v>
      </c>
      <c r="I21" s="168">
        <f t="shared" si="63"/>
        <v>0.68678815489749456</v>
      </c>
      <c r="J21" s="168">
        <f t="shared" si="63"/>
        <v>0.52555555555555555</v>
      </c>
      <c r="K21" s="168">
        <f t="shared" si="63"/>
        <v>0.39854486661277289</v>
      </c>
      <c r="L21" s="168">
        <f t="shared" si="63"/>
        <v>0.46313799621928164</v>
      </c>
      <c r="M21" s="168">
        <f t="shared" si="63"/>
        <v>4.0513166779203136E-2</v>
      </c>
      <c r="N21" s="168">
        <f t="shared" si="63"/>
        <v>-1.7479970866715266E-2</v>
      </c>
      <c r="O21" s="168">
        <f t="shared" si="63"/>
        <v>-0.10057803468208093</v>
      </c>
      <c r="P21" s="168">
        <f t="shared" si="63"/>
        <v>-0.24612403100775193</v>
      </c>
      <c r="Q21" s="168">
        <f>Q18/M18-1</f>
        <v>-0.20506164828033746</v>
      </c>
      <c r="R21" s="168">
        <f t="shared" ref="R21" si="64">R18/N18-1</f>
        <v>-0.11489992587101561</v>
      </c>
      <c r="S21" s="273">
        <f t="shared" ref="S21" si="65">S18/O18-1</f>
        <v>-1.7352185089974381E-2</v>
      </c>
      <c r="T21" s="273">
        <f t="shared" ref="T21" si="66">T18/P18-1</f>
        <v>2.5706940874035134E-3</v>
      </c>
      <c r="U21" s="273">
        <f t="shared" ref="U21" si="67">U18/Q18-1</f>
        <v>-2.6938775510204072E-2</v>
      </c>
      <c r="V21" s="273">
        <f t="shared" ref="V21" si="68">V18/R18-1</f>
        <v>1.6750418760469454E-3</v>
      </c>
      <c r="W21" s="273">
        <f t="shared" ref="W21" si="69">W18/S18-1</f>
        <v>3.0085022890778301E-2</v>
      </c>
      <c r="AA21" s="119"/>
    </row>
    <row r="22" spans="1:27" x14ac:dyDescent="0.25">
      <c r="P22" s="49"/>
      <c r="Q22" s="49"/>
      <c r="R22" s="49"/>
      <c r="S22" s="49"/>
    </row>
    <row r="24" spans="1:27" x14ac:dyDescent="0.25">
      <c r="B24" s="100"/>
      <c r="P24" s="101"/>
      <c r="Q24" s="101"/>
      <c r="R24" s="101"/>
      <c r="S24" s="101"/>
    </row>
  </sheetData>
  <phoneticPr fontId="37" type="noConversion"/>
  <hyperlinks>
    <hyperlink ref="B6" r:id="rId1" location=":~:text=Roblox%20games%20global%20DAU%20as%20of%20Q1%202023%2C%20by%20age%20group&amp;text=In%20the%20first%20quarter%20of,in%20the%20same%20age%20group." xr:uid="{CBEC04E6-265E-4F4C-B7BD-A3BF052B4443}"/>
    <hyperlink ref="B10" r:id="rId2" location=":~:text=Roblox%20games%20global%20DAU%20as%20of%20Q1%202023%2C%20by%20age%20group&amp;text=In%20the%20first%20quarter%20of,in%20the%20same%20age%20group." xr:uid="{B5A89511-1C0E-4DCE-A1E0-43AE52C8FE76}"/>
  </hyperlinks>
  <pageMargins left="0.7" right="0.7" top="0.75" bottom="0.75" header="0.3" footer="0.3"/>
  <pageSetup paperSize="256" orientation="portrait" horizontalDpi="203" verticalDpi="203" r:id="rId3"/>
  <ignoredErrors>
    <ignoredError sqref="Y2:AA16 AB2:AB19 AC2 AC14" formulaRange="1"/>
  </ignoredError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1A766-02FB-4987-B412-D901BF05DA6F}">
  <dimension ref="B2:K171"/>
  <sheetViews>
    <sheetView topLeftCell="A49" workbookViewId="0">
      <selection activeCell="E91" sqref="B67:K91"/>
    </sheetView>
  </sheetViews>
  <sheetFormatPr defaultRowHeight="12.75" x14ac:dyDescent="0.2"/>
  <cols>
    <col min="1" max="16384" width="9" style="295"/>
  </cols>
  <sheetData>
    <row r="2" spans="2:11" x14ac:dyDescent="0.2">
      <c r="B2" s="340" t="s">
        <v>365</v>
      </c>
      <c r="C2" s="341"/>
      <c r="D2" s="341"/>
      <c r="E2" s="341"/>
      <c r="F2" s="341"/>
      <c r="G2" s="341"/>
      <c r="H2" s="341"/>
      <c r="I2" s="341"/>
      <c r="J2" s="341"/>
      <c r="K2" s="342"/>
    </row>
    <row r="3" spans="2:11" x14ac:dyDescent="0.2">
      <c r="B3" s="296" t="s">
        <v>366</v>
      </c>
      <c r="C3" s="297"/>
      <c r="D3" s="297"/>
      <c r="E3" s="297"/>
      <c r="F3" s="297"/>
      <c r="G3" s="297"/>
      <c r="H3" s="297"/>
      <c r="I3" s="297"/>
      <c r="J3" s="297"/>
      <c r="K3" s="298"/>
    </row>
    <row r="4" spans="2:11" x14ac:dyDescent="0.2">
      <c r="B4" s="296" t="s">
        <v>367</v>
      </c>
      <c r="C4" s="297"/>
      <c r="D4" s="297"/>
      <c r="E4" s="297"/>
      <c r="F4" s="297"/>
      <c r="G4" s="297"/>
      <c r="H4" s="297"/>
      <c r="I4" s="297"/>
      <c r="J4" s="297"/>
      <c r="K4" s="298"/>
    </row>
    <row r="5" spans="2:11" x14ac:dyDescent="0.2">
      <c r="B5" s="296" t="s">
        <v>368</v>
      </c>
      <c r="C5" s="297"/>
      <c r="D5" s="297"/>
      <c r="E5" s="297"/>
      <c r="F5" s="297"/>
      <c r="G5" s="297"/>
      <c r="H5" s="297"/>
      <c r="I5" s="297"/>
      <c r="J5" s="297"/>
      <c r="K5" s="298"/>
    </row>
    <row r="6" spans="2:11" x14ac:dyDescent="0.2">
      <c r="B6" s="296" t="s">
        <v>369</v>
      </c>
      <c r="C6" s="297"/>
      <c r="D6" s="297"/>
      <c r="E6" s="297"/>
      <c r="F6" s="297"/>
      <c r="G6" s="297"/>
      <c r="H6" s="297"/>
      <c r="I6" s="297"/>
      <c r="J6" s="297"/>
      <c r="K6" s="298"/>
    </row>
    <row r="7" spans="2:11" x14ac:dyDescent="0.2">
      <c r="B7" s="296" t="s">
        <v>370</v>
      </c>
      <c r="C7" s="297"/>
      <c r="D7" s="297"/>
      <c r="E7" s="297"/>
      <c r="F7" s="297"/>
      <c r="G7" s="297"/>
      <c r="H7" s="297"/>
      <c r="I7" s="297"/>
      <c r="J7" s="297"/>
      <c r="K7" s="298"/>
    </row>
    <row r="8" spans="2:11" x14ac:dyDescent="0.2">
      <c r="B8" s="296" t="s">
        <v>383</v>
      </c>
      <c r="C8" s="297"/>
      <c r="D8" s="297"/>
      <c r="E8" s="297"/>
      <c r="F8" s="297"/>
      <c r="G8" s="297"/>
      <c r="H8" s="297"/>
      <c r="I8" s="297"/>
      <c r="J8" s="297"/>
      <c r="K8" s="298"/>
    </row>
    <row r="9" spans="2:11" x14ac:dyDescent="0.2">
      <c r="B9" s="296" t="s">
        <v>371</v>
      </c>
      <c r="C9" s="297"/>
      <c r="D9" s="297"/>
      <c r="E9" s="297"/>
      <c r="F9" s="297"/>
      <c r="G9" s="297"/>
      <c r="H9" s="297"/>
      <c r="I9" s="297"/>
      <c r="J9" s="297"/>
      <c r="K9" s="298"/>
    </row>
    <row r="10" spans="2:11" x14ac:dyDescent="0.2">
      <c r="B10" s="296" t="s">
        <v>372</v>
      </c>
      <c r="C10" s="297"/>
      <c r="D10" s="297"/>
      <c r="E10" s="297"/>
      <c r="F10" s="297"/>
      <c r="G10" s="297"/>
      <c r="H10" s="297"/>
      <c r="I10" s="297"/>
      <c r="J10" s="297"/>
      <c r="K10" s="298"/>
    </row>
    <row r="11" spans="2:11" x14ac:dyDescent="0.2">
      <c r="B11" s="296" t="s">
        <v>373</v>
      </c>
      <c r="C11" s="297"/>
      <c r="D11" s="297"/>
      <c r="E11" s="297"/>
      <c r="F11" s="297"/>
      <c r="G11" s="297"/>
      <c r="H11" s="297"/>
      <c r="I11" s="297"/>
      <c r="J11" s="297"/>
      <c r="K11" s="298"/>
    </row>
    <row r="12" spans="2:11" x14ac:dyDescent="0.2">
      <c r="B12" s="296" t="s">
        <v>374</v>
      </c>
      <c r="C12" s="297"/>
      <c r="D12" s="297"/>
      <c r="E12" s="297"/>
      <c r="F12" s="297"/>
      <c r="G12" s="297"/>
      <c r="H12" s="297"/>
      <c r="I12" s="297"/>
      <c r="J12" s="297"/>
      <c r="K12" s="298"/>
    </row>
    <row r="13" spans="2:11" x14ac:dyDescent="0.2">
      <c r="B13" s="296" t="s">
        <v>375</v>
      </c>
      <c r="C13" s="297"/>
      <c r="D13" s="297"/>
      <c r="E13" s="297"/>
      <c r="F13" s="297"/>
      <c r="G13" s="297"/>
      <c r="H13" s="297"/>
      <c r="I13" s="297"/>
      <c r="J13" s="297"/>
      <c r="K13" s="298"/>
    </row>
    <row r="14" spans="2:11" x14ac:dyDescent="0.2">
      <c r="B14" s="296" t="s">
        <v>376</v>
      </c>
      <c r="C14" s="297"/>
      <c r="D14" s="297"/>
      <c r="E14" s="297"/>
      <c r="F14" s="297"/>
      <c r="G14" s="297"/>
      <c r="H14" s="297"/>
      <c r="I14" s="297"/>
      <c r="J14" s="297"/>
      <c r="K14" s="298"/>
    </row>
    <row r="15" spans="2:11" x14ac:dyDescent="0.2">
      <c r="B15" s="296" t="s">
        <v>377</v>
      </c>
      <c r="C15" s="297"/>
      <c r="D15" s="297"/>
      <c r="E15" s="297"/>
      <c r="F15" s="297"/>
      <c r="G15" s="297"/>
      <c r="H15" s="297"/>
      <c r="I15" s="297"/>
      <c r="J15" s="297"/>
      <c r="K15" s="298"/>
    </row>
    <row r="16" spans="2:11" x14ac:dyDescent="0.2">
      <c r="B16" s="296" t="s">
        <v>378</v>
      </c>
      <c r="C16" s="297"/>
      <c r="D16" s="297"/>
      <c r="E16" s="297"/>
      <c r="F16" s="297"/>
      <c r="G16" s="297"/>
      <c r="H16" s="297"/>
      <c r="I16" s="297"/>
      <c r="J16" s="297"/>
      <c r="K16" s="298"/>
    </row>
    <row r="17" spans="2:11" x14ac:dyDescent="0.2">
      <c r="B17" s="296" t="s">
        <v>379</v>
      </c>
      <c r="C17" s="297"/>
      <c r="D17" s="297"/>
      <c r="E17" s="297"/>
      <c r="F17" s="297"/>
      <c r="G17" s="297"/>
      <c r="H17" s="297"/>
      <c r="I17" s="297"/>
      <c r="J17" s="297"/>
      <c r="K17" s="298"/>
    </row>
    <row r="18" spans="2:11" x14ac:dyDescent="0.2">
      <c r="B18" s="302" t="s">
        <v>380</v>
      </c>
      <c r="C18" s="297"/>
      <c r="D18" s="297"/>
      <c r="E18" s="297"/>
      <c r="F18" s="297"/>
      <c r="G18" s="297"/>
      <c r="H18" s="297"/>
      <c r="I18" s="297"/>
      <c r="J18" s="297"/>
      <c r="K18" s="298"/>
    </row>
    <row r="19" spans="2:11" x14ac:dyDescent="0.2">
      <c r="B19" s="296"/>
      <c r="C19" s="297"/>
      <c r="D19" s="297"/>
      <c r="E19" s="297"/>
      <c r="F19" s="297"/>
      <c r="G19" s="297"/>
      <c r="H19" s="297"/>
      <c r="I19" s="297"/>
      <c r="J19" s="297"/>
      <c r="K19" s="298"/>
    </row>
    <row r="20" spans="2:11" x14ac:dyDescent="0.2">
      <c r="B20" s="296" t="s">
        <v>384</v>
      </c>
      <c r="C20" s="297"/>
      <c r="D20" s="297"/>
      <c r="E20" s="297"/>
      <c r="F20" s="297"/>
      <c r="G20" s="297"/>
      <c r="H20" s="297"/>
      <c r="I20" s="297"/>
      <c r="J20" s="297"/>
      <c r="K20" s="298"/>
    </row>
    <row r="21" spans="2:11" x14ac:dyDescent="0.2">
      <c r="B21" s="302" t="s">
        <v>385</v>
      </c>
      <c r="C21" s="297"/>
      <c r="D21" s="297"/>
      <c r="E21" s="297"/>
      <c r="F21" s="297"/>
      <c r="G21" s="297"/>
      <c r="H21" s="297"/>
      <c r="I21" s="297"/>
      <c r="J21" s="297"/>
      <c r="K21" s="298"/>
    </row>
    <row r="22" spans="2:11" x14ac:dyDescent="0.2">
      <c r="B22" s="302" t="s">
        <v>386</v>
      </c>
      <c r="C22" s="297"/>
      <c r="D22" s="297"/>
      <c r="E22" s="297"/>
      <c r="F22" s="297"/>
      <c r="G22" s="297"/>
      <c r="H22" s="297"/>
      <c r="I22" s="297"/>
      <c r="J22" s="297"/>
      <c r="K22" s="298"/>
    </row>
    <row r="23" spans="2:11" x14ac:dyDescent="0.2">
      <c r="B23" s="296"/>
      <c r="C23" s="297"/>
      <c r="D23" s="297"/>
      <c r="E23" s="297"/>
      <c r="F23" s="297"/>
      <c r="G23" s="297"/>
      <c r="H23" s="297"/>
      <c r="I23" s="297"/>
      <c r="J23" s="297"/>
      <c r="K23" s="298"/>
    </row>
    <row r="24" spans="2:11" x14ac:dyDescent="0.2">
      <c r="B24" s="296" t="s">
        <v>387</v>
      </c>
      <c r="C24" s="297"/>
      <c r="D24" s="297"/>
      <c r="E24" s="297"/>
      <c r="F24" s="297"/>
      <c r="G24" s="297"/>
      <c r="H24" s="297"/>
      <c r="I24" s="297"/>
      <c r="J24" s="297"/>
      <c r="K24" s="298"/>
    </row>
    <row r="25" spans="2:11" x14ac:dyDescent="0.2">
      <c r="B25" s="296"/>
      <c r="C25" s="297"/>
      <c r="D25" s="297"/>
      <c r="E25" s="297"/>
      <c r="F25" s="297"/>
      <c r="G25" s="297"/>
      <c r="H25" s="297"/>
      <c r="I25" s="297"/>
      <c r="J25" s="297"/>
      <c r="K25" s="298"/>
    </row>
    <row r="26" spans="2:11" x14ac:dyDescent="0.2">
      <c r="B26" s="296" t="s">
        <v>388</v>
      </c>
      <c r="C26" s="297"/>
      <c r="D26" s="297"/>
      <c r="E26" s="297"/>
      <c r="F26" s="297"/>
      <c r="G26" s="297"/>
      <c r="H26" s="297"/>
      <c r="I26" s="297"/>
      <c r="J26" s="297"/>
      <c r="K26" s="298"/>
    </row>
    <row r="27" spans="2:11" x14ac:dyDescent="0.2">
      <c r="B27" s="296" t="s">
        <v>389</v>
      </c>
      <c r="C27" s="297"/>
      <c r="D27" s="297"/>
      <c r="E27" s="297"/>
      <c r="F27" s="297"/>
      <c r="G27" s="297"/>
      <c r="H27" s="297"/>
      <c r="I27" s="297"/>
      <c r="J27" s="297"/>
      <c r="K27" s="298"/>
    </row>
    <row r="28" spans="2:11" x14ac:dyDescent="0.2">
      <c r="B28" s="296"/>
      <c r="C28" s="297"/>
      <c r="D28" s="297"/>
      <c r="E28" s="297"/>
      <c r="F28" s="297"/>
      <c r="G28" s="297"/>
      <c r="H28" s="297"/>
      <c r="I28" s="297"/>
      <c r="J28" s="297"/>
      <c r="K28" s="298"/>
    </row>
    <row r="29" spans="2:11" x14ac:dyDescent="0.2">
      <c r="B29" s="299" t="s">
        <v>390</v>
      </c>
      <c r="C29" s="300"/>
      <c r="D29" s="300"/>
      <c r="E29" s="300"/>
      <c r="F29" s="300"/>
      <c r="G29" s="300"/>
      <c r="H29" s="300"/>
      <c r="I29" s="300"/>
      <c r="J29" s="300"/>
      <c r="K29" s="301"/>
    </row>
    <row r="32" spans="2:11" x14ac:dyDescent="0.2">
      <c r="B32" s="340" t="s">
        <v>108</v>
      </c>
      <c r="C32" s="341"/>
      <c r="D32" s="341"/>
      <c r="E32" s="341"/>
      <c r="F32" s="341"/>
      <c r="G32" s="341"/>
      <c r="H32" s="341"/>
      <c r="I32" s="341"/>
      <c r="J32" s="341"/>
      <c r="K32" s="342"/>
    </row>
    <row r="33" spans="2:11" x14ac:dyDescent="0.2">
      <c r="B33" s="304" t="s">
        <v>348</v>
      </c>
      <c r="C33" s="297"/>
      <c r="D33" s="297"/>
      <c r="E33" s="297"/>
      <c r="F33" s="297"/>
      <c r="G33" s="297"/>
      <c r="H33" s="297"/>
      <c r="I33" s="297"/>
      <c r="J33" s="297"/>
      <c r="K33" s="298"/>
    </row>
    <row r="34" spans="2:11" x14ac:dyDescent="0.2">
      <c r="B34" s="304" t="s">
        <v>349</v>
      </c>
      <c r="C34" s="297"/>
      <c r="D34" s="297"/>
      <c r="E34" s="297"/>
      <c r="F34" s="297"/>
      <c r="G34" s="297"/>
      <c r="H34" s="297"/>
      <c r="I34" s="297"/>
      <c r="J34" s="297"/>
      <c r="K34" s="298"/>
    </row>
    <row r="35" spans="2:11" x14ac:dyDescent="0.2">
      <c r="B35" s="304" t="s">
        <v>350</v>
      </c>
      <c r="C35" s="297"/>
      <c r="D35" s="297"/>
      <c r="E35" s="297"/>
      <c r="F35" s="297"/>
      <c r="G35" s="297"/>
      <c r="H35" s="297"/>
      <c r="I35" s="297"/>
      <c r="J35" s="297"/>
      <c r="K35" s="298"/>
    </row>
    <row r="36" spans="2:11" x14ac:dyDescent="0.2">
      <c r="B36" s="304" t="s">
        <v>351</v>
      </c>
      <c r="C36" s="297"/>
      <c r="D36" s="297"/>
      <c r="E36" s="297"/>
      <c r="F36" s="297"/>
      <c r="G36" s="297"/>
      <c r="H36" s="297"/>
      <c r="I36" s="297"/>
      <c r="J36" s="297"/>
      <c r="K36" s="298"/>
    </row>
    <row r="37" spans="2:11" x14ac:dyDescent="0.2">
      <c r="B37" s="304" t="s">
        <v>352</v>
      </c>
      <c r="C37" s="297"/>
      <c r="D37" s="297"/>
      <c r="E37" s="297"/>
      <c r="F37" s="297"/>
      <c r="G37" s="297"/>
      <c r="H37" s="297"/>
      <c r="I37" s="297"/>
      <c r="J37" s="297"/>
      <c r="K37" s="298"/>
    </row>
    <row r="38" spans="2:11" x14ac:dyDescent="0.2">
      <c r="B38" s="304"/>
      <c r="C38" s="297"/>
      <c r="D38" s="297"/>
      <c r="E38" s="297"/>
      <c r="F38" s="297"/>
      <c r="G38" s="297"/>
      <c r="H38" s="297"/>
      <c r="I38" s="297"/>
      <c r="J38" s="297"/>
      <c r="K38" s="298"/>
    </row>
    <row r="39" spans="2:11" x14ac:dyDescent="0.2">
      <c r="B39" s="304" t="s">
        <v>353</v>
      </c>
      <c r="C39" s="297"/>
      <c r="D39" s="297"/>
      <c r="E39" s="297"/>
      <c r="F39" s="297"/>
      <c r="G39" s="297"/>
      <c r="H39" s="297"/>
      <c r="I39" s="297"/>
      <c r="J39" s="297"/>
      <c r="K39" s="298"/>
    </row>
    <row r="40" spans="2:11" x14ac:dyDescent="0.2">
      <c r="B40" s="304" t="s">
        <v>354</v>
      </c>
      <c r="C40" s="297"/>
      <c r="D40" s="297"/>
      <c r="E40" s="297"/>
      <c r="F40" s="297"/>
      <c r="G40" s="297"/>
      <c r="H40" s="297"/>
      <c r="I40" s="297"/>
      <c r="J40" s="297"/>
      <c r="K40" s="298"/>
    </row>
    <row r="41" spans="2:11" x14ac:dyDescent="0.2">
      <c r="B41" s="304"/>
      <c r="C41" s="297"/>
      <c r="D41" s="297"/>
      <c r="E41" s="297"/>
      <c r="F41" s="297"/>
      <c r="G41" s="297"/>
      <c r="H41" s="297"/>
      <c r="I41" s="297"/>
      <c r="J41" s="297"/>
      <c r="K41" s="298"/>
    </row>
    <row r="42" spans="2:11" x14ac:dyDescent="0.2">
      <c r="B42" s="304" t="s">
        <v>355</v>
      </c>
      <c r="C42" s="297"/>
      <c r="D42" s="297"/>
      <c r="E42" s="297"/>
      <c r="F42" s="297"/>
      <c r="G42" s="297"/>
      <c r="H42" s="297"/>
      <c r="I42" s="297"/>
      <c r="J42" s="297"/>
      <c r="K42" s="298"/>
    </row>
    <row r="43" spans="2:11" x14ac:dyDescent="0.2">
      <c r="B43" s="304" t="s">
        <v>356</v>
      </c>
      <c r="C43" s="297"/>
      <c r="D43" s="297"/>
      <c r="E43" s="297"/>
      <c r="F43" s="297"/>
      <c r="G43" s="297"/>
      <c r="H43" s="297"/>
      <c r="I43" s="297"/>
      <c r="J43" s="297"/>
      <c r="K43" s="298"/>
    </row>
    <row r="44" spans="2:11" x14ac:dyDescent="0.2">
      <c r="B44" s="304" t="s">
        <v>357</v>
      </c>
      <c r="C44" s="297"/>
      <c r="D44" s="297"/>
      <c r="E44" s="297"/>
      <c r="F44" s="297"/>
      <c r="G44" s="297"/>
      <c r="H44" s="297"/>
      <c r="I44" s="297"/>
      <c r="J44" s="297"/>
      <c r="K44" s="298"/>
    </row>
    <row r="45" spans="2:11" x14ac:dyDescent="0.2">
      <c r="B45" s="304"/>
      <c r="C45" s="297"/>
      <c r="D45" s="297"/>
      <c r="E45" s="297"/>
      <c r="F45" s="297"/>
      <c r="G45" s="297"/>
      <c r="H45" s="297"/>
      <c r="I45" s="297"/>
      <c r="J45" s="297"/>
      <c r="K45" s="298"/>
    </row>
    <row r="46" spans="2:11" x14ac:dyDescent="0.2">
      <c r="B46" s="304" t="s">
        <v>358</v>
      </c>
      <c r="C46" s="297"/>
      <c r="D46" s="297"/>
      <c r="E46" s="297"/>
      <c r="F46" s="297"/>
      <c r="G46" s="297"/>
      <c r="H46" s="297"/>
      <c r="I46" s="297"/>
      <c r="J46" s="297"/>
      <c r="K46" s="298"/>
    </row>
    <row r="47" spans="2:11" x14ac:dyDescent="0.2">
      <c r="B47" s="304" t="s">
        <v>359</v>
      </c>
      <c r="C47" s="297"/>
      <c r="D47" s="297"/>
      <c r="E47" s="297"/>
      <c r="F47" s="297"/>
      <c r="G47" s="297"/>
      <c r="H47" s="297"/>
      <c r="I47" s="297"/>
      <c r="J47" s="297"/>
      <c r="K47" s="298"/>
    </row>
    <row r="48" spans="2:11" x14ac:dyDescent="0.2">
      <c r="B48" s="304" t="s">
        <v>360</v>
      </c>
      <c r="C48" s="297"/>
      <c r="D48" s="297"/>
      <c r="E48" s="297"/>
      <c r="F48" s="297"/>
      <c r="G48" s="297"/>
      <c r="H48" s="297"/>
      <c r="I48" s="297"/>
      <c r="J48" s="297"/>
      <c r="K48" s="298"/>
    </row>
    <row r="49" spans="2:11" x14ac:dyDescent="0.2">
      <c r="B49" s="304"/>
      <c r="C49" s="297"/>
      <c r="D49" s="297"/>
      <c r="E49" s="297"/>
      <c r="F49" s="297"/>
      <c r="G49" s="297"/>
      <c r="H49" s="297"/>
      <c r="I49" s="297"/>
      <c r="J49" s="297"/>
      <c r="K49" s="298"/>
    </row>
    <row r="50" spans="2:11" x14ac:dyDescent="0.2">
      <c r="B50" s="305"/>
      <c r="C50" s="297"/>
      <c r="D50" s="297"/>
      <c r="E50" s="297"/>
      <c r="F50" s="297"/>
      <c r="G50" s="297"/>
      <c r="H50" s="297"/>
      <c r="I50" s="297"/>
      <c r="J50" s="297"/>
      <c r="K50" s="298"/>
    </row>
    <row r="51" spans="2:11" x14ac:dyDescent="0.2">
      <c r="B51" s="304" t="s">
        <v>361</v>
      </c>
      <c r="C51" s="297"/>
      <c r="D51" s="297"/>
      <c r="E51" s="297"/>
      <c r="F51" s="297"/>
      <c r="G51" s="297"/>
      <c r="H51" s="297"/>
      <c r="I51" s="297"/>
      <c r="J51" s="297"/>
      <c r="K51" s="298"/>
    </row>
    <row r="52" spans="2:11" x14ac:dyDescent="0.2">
      <c r="B52" s="304" t="s">
        <v>362</v>
      </c>
      <c r="C52" s="297"/>
      <c r="D52" s="297"/>
      <c r="E52" s="297"/>
      <c r="F52" s="297"/>
      <c r="G52" s="297"/>
      <c r="H52" s="297"/>
      <c r="I52" s="297"/>
      <c r="J52" s="297"/>
      <c r="K52" s="298"/>
    </row>
    <row r="53" spans="2:11" x14ac:dyDescent="0.2">
      <c r="B53" s="304"/>
      <c r="C53" s="297"/>
      <c r="D53" s="297"/>
      <c r="E53" s="297"/>
      <c r="F53" s="297"/>
      <c r="G53" s="297"/>
      <c r="H53" s="297"/>
      <c r="I53" s="297"/>
      <c r="J53" s="297"/>
      <c r="K53" s="298"/>
    </row>
    <row r="54" spans="2:11" x14ac:dyDescent="0.2">
      <c r="B54" s="304" t="s">
        <v>363</v>
      </c>
      <c r="C54" s="297"/>
      <c r="D54" s="297"/>
      <c r="E54" s="297"/>
      <c r="F54" s="297"/>
      <c r="G54" s="297"/>
      <c r="H54" s="297"/>
      <c r="I54" s="297"/>
      <c r="J54" s="297"/>
      <c r="K54" s="298"/>
    </row>
    <row r="55" spans="2:11" x14ac:dyDescent="0.2">
      <c r="B55" s="304"/>
      <c r="C55" s="297"/>
      <c r="D55" s="297"/>
      <c r="E55" s="297"/>
      <c r="F55" s="297"/>
      <c r="G55" s="297"/>
      <c r="H55" s="297"/>
      <c r="I55" s="297"/>
      <c r="J55" s="297"/>
      <c r="K55" s="298"/>
    </row>
    <row r="56" spans="2:11" x14ac:dyDescent="0.2">
      <c r="B56" s="304" t="s">
        <v>330</v>
      </c>
      <c r="C56" s="297"/>
      <c r="D56" s="297"/>
      <c r="E56" s="297"/>
      <c r="F56" s="297"/>
      <c r="G56" s="297"/>
      <c r="H56" s="297"/>
      <c r="I56" s="297"/>
      <c r="J56" s="297"/>
      <c r="K56" s="298"/>
    </row>
    <row r="57" spans="2:11" x14ac:dyDescent="0.2">
      <c r="B57" s="304" t="s">
        <v>332</v>
      </c>
      <c r="C57" s="297"/>
      <c r="D57" s="297"/>
      <c r="E57" s="297"/>
      <c r="F57" s="297"/>
      <c r="G57" s="297"/>
      <c r="H57" s="297"/>
      <c r="I57" s="297"/>
      <c r="J57" s="297"/>
      <c r="K57" s="298"/>
    </row>
    <row r="58" spans="2:11" x14ac:dyDescent="0.2">
      <c r="B58" s="306" t="s">
        <v>334</v>
      </c>
      <c r="C58" s="297"/>
      <c r="D58" s="297"/>
      <c r="E58" s="297"/>
      <c r="F58" s="297"/>
      <c r="G58" s="297"/>
      <c r="H58" s="297"/>
      <c r="I58" s="297"/>
      <c r="J58" s="297"/>
      <c r="K58" s="298"/>
    </row>
    <row r="59" spans="2:11" x14ac:dyDescent="0.2">
      <c r="B59" s="306" t="s">
        <v>335</v>
      </c>
      <c r="C59" s="297"/>
      <c r="D59" s="297"/>
      <c r="E59" s="297"/>
      <c r="F59" s="297"/>
      <c r="G59" s="297"/>
      <c r="H59" s="297"/>
      <c r="I59" s="297"/>
      <c r="J59" s="297"/>
      <c r="K59" s="298"/>
    </row>
    <row r="60" spans="2:11" x14ac:dyDescent="0.2">
      <c r="B60" s="306" t="s">
        <v>336</v>
      </c>
      <c r="C60" s="297"/>
      <c r="D60" s="297"/>
      <c r="E60" s="297"/>
      <c r="F60" s="297"/>
      <c r="G60" s="297"/>
      <c r="H60" s="297"/>
      <c r="I60" s="297"/>
      <c r="J60" s="297"/>
      <c r="K60" s="298"/>
    </row>
    <row r="61" spans="2:11" x14ac:dyDescent="0.2">
      <c r="B61" s="304"/>
      <c r="C61" s="297"/>
      <c r="D61" s="297"/>
      <c r="E61" s="297"/>
      <c r="F61" s="297"/>
      <c r="G61" s="297"/>
      <c r="H61" s="297"/>
      <c r="I61" s="297"/>
      <c r="J61" s="297"/>
      <c r="K61" s="298"/>
    </row>
    <row r="62" spans="2:11" x14ac:dyDescent="0.2">
      <c r="B62" s="304" t="s">
        <v>331</v>
      </c>
      <c r="C62" s="297"/>
      <c r="D62" s="297"/>
      <c r="E62" s="297"/>
      <c r="F62" s="297"/>
      <c r="G62" s="297"/>
      <c r="H62" s="297"/>
      <c r="I62" s="297"/>
      <c r="J62" s="297"/>
      <c r="K62" s="298"/>
    </row>
    <row r="63" spans="2:11" x14ac:dyDescent="0.2">
      <c r="B63" s="304" t="s">
        <v>333</v>
      </c>
      <c r="C63" s="297"/>
      <c r="D63" s="297"/>
      <c r="E63" s="297"/>
      <c r="F63" s="297"/>
      <c r="G63" s="297"/>
      <c r="H63" s="297"/>
      <c r="I63" s="297"/>
      <c r="J63" s="297"/>
      <c r="K63" s="298"/>
    </row>
    <row r="64" spans="2:11" x14ac:dyDescent="0.2">
      <c r="B64" s="304"/>
      <c r="C64" s="297"/>
      <c r="D64" s="297"/>
      <c r="E64" s="297"/>
      <c r="F64" s="297"/>
      <c r="G64" s="297"/>
      <c r="H64" s="297"/>
      <c r="I64" s="297"/>
      <c r="J64" s="297"/>
      <c r="K64" s="298"/>
    </row>
    <row r="65" spans="2:11" x14ac:dyDescent="0.2">
      <c r="B65" s="304"/>
      <c r="C65" s="297"/>
      <c r="D65" s="297"/>
      <c r="E65" s="297"/>
      <c r="F65" s="297"/>
      <c r="G65" s="297"/>
      <c r="H65" s="297"/>
      <c r="I65" s="297"/>
      <c r="J65" s="297"/>
      <c r="K65" s="298"/>
    </row>
    <row r="66" spans="2:11" x14ac:dyDescent="0.2">
      <c r="B66" s="304" t="s">
        <v>337</v>
      </c>
      <c r="C66" s="297"/>
      <c r="D66" s="297"/>
      <c r="E66" s="297"/>
      <c r="F66" s="297"/>
      <c r="G66" s="297"/>
      <c r="H66" s="297"/>
      <c r="I66" s="297"/>
      <c r="J66" s="297"/>
      <c r="K66" s="298"/>
    </row>
    <row r="67" spans="2:11" x14ac:dyDescent="0.2">
      <c r="B67" s="304" t="s">
        <v>338</v>
      </c>
      <c r="C67" s="297"/>
      <c r="D67" s="297"/>
      <c r="E67" s="297"/>
      <c r="F67" s="297"/>
      <c r="G67" s="297"/>
      <c r="H67" s="297"/>
      <c r="I67" s="297"/>
      <c r="J67" s="297"/>
      <c r="K67" s="298"/>
    </row>
    <row r="68" spans="2:11" x14ac:dyDescent="0.2">
      <c r="B68" s="306" t="s">
        <v>339</v>
      </c>
      <c r="C68" s="297"/>
      <c r="D68" s="297"/>
      <c r="E68" s="297"/>
      <c r="F68" s="297"/>
      <c r="G68" s="297"/>
      <c r="H68" s="297"/>
      <c r="I68" s="297"/>
      <c r="J68" s="297"/>
      <c r="K68" s="298"/>
    </row>
    <row r="69" spans="2:11" x14ac:dyDescent="0.2">
      <c r="B69" s="304"/>
      <c r="C69" s="297"/>
      <c r="D69" s="297"/>
      <c r="E69" s="297"/>
      <c r="F69" s="297"/>
      <c r="G69" s="297"/>
      <c r="H69" s="297"/>
      <c r="I69" s="297"/>
      <c r="J69" s="297"/>
      <c r="K69" s="298"/>
    </row>
    <row r="70" spans="2:11" x14ac:dyDescent="0.2">
      <c r="B70" s="304" t="s">
        <v>340</v>
      </c>
      <c r="C70" s="297"/>
      <c r="D70" s="297"/>
      <c r="E70" s="297"/>
      <c r="F70" s="297"/>
      <c r="G70" s="297"/>
      <c r="H70" s="297"/>
      <c r="I70" s="297"/>
      <c r="J70" s="297"/>
      <c r="K70" s="298"/>
    </row>
    <row r="71" spans="2:11" x14ac:dyDescent="0.2">
      <c r="B71" s="306" t="s">
        <v>341</v>
      </c>
      <c r="C71" s="297"/>
      <c r="D71" s="297"/>
      <c r="E71" s="297"/>
      <c r="F71" s="297"/>
      <c r="G71" s="297"/>
      <c r="H71" s="297"/>
      <c r="I71" s="297"/>
      <c r="J71" s="297"/>
      <c r="K71" s="298"/>
    </row>
    <row r="72" spans="2:11" x14ac:dyDescent="0.2">
      <c r="B72" s="306" t="s">
        <v>342</v>
      </c>
      <c r="C72" s="297"/>
      <c r="D72" s="297"/>
      <c r="E72" s="297"/>
      <c r="F72" s="297"/>
      <c r="G72" s="297"/>
      <c r="H72" s="297"/>
      <c r="I72" s="297"/>
      <c r="J72" s="297"/>
      <c r="K72" s="298"/>
    </row>
    <row r="73" spans="2:11" x14ac:dyDescent="0.2">
      <c r="B73" s="306" t="s">
        <v>343</v>
      </c>
      <c r="C73" s="297"/>
      <c r="D73" s="297"/>
      <c r="E73" s="297"/>
      <c r="F73" s="297"/>
      <c r="G73" s="297"/>
      <c r="H73" s="297"/>
      <c r="I73" s="297"/>
      <c r="J73" s="297"/>
      <c r="K73" s="298"/>
    </row>
    <row r="74" spans="2:11" x14ac:dyDescent="0.2">
      <c r="B74" s="306" t="s">
        <v>344</v>
      </c>
      <c r="C74" s="297"/>
      <c r="D74" s="297"/>
      <c r="E74" s="297"/>
      <c r="F74" s="297"/>
      <c r="G74" s="297"/>
      <c r="H74" s="297"/>
      <c r="I74" s="297"/>
      <c r="J74" s="297"/>
      <c r="K74" s="298"/>
    </row>
    <row r="75" spans="2:11" x14ac:dyDescent="0.2">
      <c r="B75" s="306"/>
      <c r="C75" s="297"/>
      <c r="D75" s="297"/>
      <c r="E75" s="297"/>
      <c r="F75" s="297"/>
      <c r="G75" s="297"/>
      <c r="H75" s="297"/>
      <c r="I75" s="297"/>
      <c r="J75" s="297"/>
      <c r="K75" s="298"/>
    </row>
    <row r="76" spans="2:11" x14ac:dyDescent="0.2">
      <c r="B76" s="304" t="s">
        <v>346</v>
      </c>
      <c r="C76" s="297"/>
      <c r="D76" s="297"/>
      <c r="E76" s="297"/>
      <c r="F76" s="297"/>
      <c r="G76" s="297"/>
      <c r="H76" s="297"/>
      <c r="I76" s="297"/>
      <c r="J76" s="297"/>
      <c r="K76" s="298"/>
    </row>
    <row r="77" spans="2:11" x14ac:dyDescent="0.2">
      <c r="B77" s="306" t="s">
        <v>345</v>
      </c>
      <c r="C77" s="297"/>
      <c r="D77" s="297"/>
      <c r="E77" s="297"/>
      <c r="F77" s="297"/>
      <c r="G77" s="297"/>
      <c r="H77" s="297"/>
      <c r="I77" s="297"/>
      <c r="J77" s="297"/>
      <c r="K77" s="298"/>
    </row>
    <row r="78" spans="2:11" x14ac:dyDescent="0.2">
      <c r="B78" s="307" t="s">
        <v>347</v>
      </c>
      <c r="C78" s="300"/>
      <c r="D78" s="300"/>
      <c r="E78" s="300"/>
      <c r="F78" s="300"/>
      <c r="G78" s="300"/>
      <c r="H78" s="300"/>
      <c r="I78" s="300"/>
      <c r="J78" s="300"/>
      <c r="K78" s="301"/>
    </row>
    <row r="81" spans="2:11" x14ac:dyDescent="0.2">
      <c r="B81" s="340" t="s">
        <v>15</v>
      </c>
      <c r="C81" s="341"/>
      <c r="D81" s="341"/>
      <c r="E81" s="341"/>
      <c r="F81" s="341"/>
      <c r="G81" s="341"/>
      <c r="H81" s="341"/>
      <c r="I81" s="341"/>
      <c r="J81" s="341"/>
      <c r="K81" s="342"/>
    </row>
    <row r="82" spans="2:11" x14ac:dyDescent="0.2">
      <c r="B82" s="296" t="s">
        <v>302</v>
      </c>
      <c r="C82" s="297"/>
      <c r="D82" s="297"/>
      <c r="E82" s="297"/>
      <c r="F82" s="297"/>
      <c r="G82" s="297"/>
      <c r="H82" s="297"/>
      <c r="I82" s="297"/>
      <c r="J82" s="297"/>
      <c r="K82" s="298"/>
    </row>
    <row r="83" spans="2:11" x14ac:dyDescent="0.2">
      <c r="B83" s="296" t="s">
        <v>288</v>
      </c>
      <c r="C83" s="297"/>
      <c r="D83" s="297"/>
      <c r="E83" s="297"/>
      <c r="F83" s="297"/>
      <c r="G83" s="297"/>
      <c r="H83" s="297"/>
      <c r="I83" s="297"/>
      <c r="J83" s="297"/>
      <c r="K83" s="298"/>
    </row>
    <row r="84" spans="2:11" x14ac:dyDescent="0.2">
      <c r="B84" s="296" t="s">
        <v>289</v>
      </c>
      <c r="C84" s="297"/>
      <c r="D84" s="297"/>
      <c r="E84" s="297"/>
      <c r="F84" s="297"/>
      <c r="G84" s="297"/>
      <c r="H84" s="297"/>
      <c r="I84" s="297"/>
      <c r="J84" s="297"/>
      <c r="K84" s="298"/>
    </row>
    <row r="85" spans="2:11" x14ac:dyDescent="0.2">
      <c r="B85" s="296"/>
      <c r="C85" s="297"/>
      <c r="D85" s="297"/>
      <c r="E85" s="297"/>
      <c r="F85" s="297"/>
      <c r="G85" s="297"/>
      <c r="H85" s="297"/>
      <c r="I85" s="297"/>
      <c r="J85" s="297"/>
      <c r="K85" s="298"/>
    </row>
    <row r="86" spans="2:11" x14ac:dyDescent="0.2">
      <c r="B86" s="296" t="s">
        <v>290</v>
      </c>
      <c r="C86" s="297"/>
      <c r="D86" s="297"/>
      <c r="E86" s="297"/>
      <c r="F86" s="297"/>
      <c r="G86" s="297"/>
      <c r="H86" s="297"/>
      <c r="I86" s="297"/>
      <c r="J86" s="297"/>
      <c r="K86" s="298"/>
    </row>
    <row r="87" spans="2:11" x14ac:dyDescent="0.2">
      <c r="B87" s="296" t="s">
        <v>291</v>
      </c>
      <c r="C87" s="297"/>
      <c r="D87" s="297"/>
      <c r="E87" s="297"/>
      <c r="F87" s="297"/>
      <c r="G87" s="297"/>
      <c r="H87" s="297"/>
      <c r="I87" s="297"/>
      <c r="J87" s="297"/>
      <c r="K87" s="298"/>
    </row>
    <row r="88" spans="2:11" x14ac:dyDescent="0.2">
      <c r="B88" s="296" t="s">
        <v>292</v>
      </c>
      <c r="C88" s="297"/>
      <c r="D88" s="297"/>
      <c r="E88" s="297"/>
      <c r="F88" s="297"/>
      <c r="G88" s="297"/>
      <c r="H88" s="297"/>
      <c r="I88" s="297"/>
      <c r="J88" s="297"/>
      <c r="K88" s="298"/>
    </row>
    <row r="89" spans="2:11" x14ac:dyDescent="0.2">
      <c r="B89" s="296" t="s">
        <v>293</v>
      </c>
      <c r="C89" s="297"/>
      <c r="D89" s="297"/>
      <c r="E89" s="297"/>
      <c r="F89" s="297"/>
      <c r="G89" s="297"/>
      <c r="H89" s="297"/>
      <c r="I89" s="297"/>
      <c r="J89" s="297"/>
      <c r="K89" s="298"/>
    </row>
    <row r="90" spans="2:11" x14ac:dyDescent="0.2">
      <c r="B90" s="296" t="s">
        <v>294</v>
      </c>
      <c r="C90" s="297"/>
      <c r="D90" s="297"/>
      <c r="E90" s="297"/>
      <c r="F90" s="297"/>
      <c r="G90" s="297"/>
      <c r="H90" s="297"/>
      <c r="I90" s="297"/>
      <c r="J90" s="297"/>
      <c r="K90" s="298"/>
    </row>
    <row r="91" spans="2:11" x14ac:dyDescent="0.2">
      <c r="B91" s="296"/>
      <c r="C91" s="297"/>
      <c r="D91" s="297"/>
      <c r="E91" s="297"/>
      <c r="F91" s="297"/>
      <c r="G91" s="297"/>
      <c r="H91" s="297"/>
      <c r="I91" s="297"/>
      <c r="J91" s="297"/>
      <c r="K91" s="298"/>
    </row>
    <row r="92" spans="2:11" x14ac:dyDescent="0.2">
      <c r="B92" s="296" t="s">
        <v>296</v>
      </c>
      <c r="C92" s="297"/>
      <c r="D92" s="297"/>
      <c r="E92" s="297"/>
      <c r="F92" s="297"/>
      <c r="G92" s="297"/>
      <c r="H92" s="297"/>
      <c r="I92" s="297"/>
      <c r="J92" s="297"/>
      <c r="K92" s="298"/>
    </row>
    <row r="93" spans="2:11" x14ac:dyDescent="0.2">
      <c r="B93" s="296" t="s">
        <v>297</v>
      </c>
      <c r="C93" s="297"/>
      <c r="D93" s="297"/>
      <c r="E93" s="297"/>
      <c r="F93" s="297"/>
      <c r="G93" s="297"/>
      <c r="H93" s="297"/>
      <c r="I93" s="297"/>
      <c r="J93" s="297"/>
      <c r="K93" s="298"/>
    </row>
    <row r="94" spans="2:11" x14ac:dyDescent="0.2">
      <c r="B94" s="296"/>
      <c r="C94" s="297"/>
      <c r="D94" s="297"/>
      <c r="E94" s="297"/>
      <c r="F94" s="297"/>
      <c r="G94" s="297"/>
      <c r="H94" s="297"/>
      <c r="I94" s="297"/>
      <c r="J94" s="297"/>
      <c r="K94" s="298"/>
    </row>
    <row r="95" spans="2:11" x14ac:dyDescent="0.2">
      <c r="B95" s="296" t="s">
        <v>298</v>
      </c>
      <c r="C95" s="297"/>
      <c r="D95" s="297"/>
      <c r="E95" s="297"/>
      <c r="F95" s="297"/>
      <c r="G95" s="297"/>
      <c r="H95" s="297"/>
      <c r="I95" s="297"/>
      <c r="J95" s="297"/>
      <c r="K95" s="298"/>
    </row>
    <row r="96" spans="2:11" x14ac:dyDescent="0.2">
      <c r="B96" s="302" t="s">
        <v>299</v>
      </c>
      <c r="C96" s="297"/>
      <c r="D96" s="297"/>
      <c r="E96" s="297"/>
      <c r="F96" s="297"/>
      <c r="G96" s="297"/>
      <c r="H96" s="297"/>
      <c r="I96" s="297"/>
      <c r="J96" s="297"/>
      <c r="K96" s="298"/>
    </row>
    <row r="97" spans="2:11" x14ac:dyDescent="0.2">
      <c r="B97" s="302" t="s">
        <v>300</v>
      </c>
      <c r="C97" s="297"/>
      <c r="D97" s="297"/>
      <c r="E97" s="297"/>
      <c r="F97" s="297"/>
      <c r="G97" s="297"/>
      <c r="H97" s="297"/>
      <c r="I97" s="297"/>
      <c r="J97" s="297"/>
      <c r="K97" s="298"/>
    </row>
    <row r="98" spans="2:11" x14ac:dyDescent="0.2">
      <c r="B98" s="302" t="s">
        <v>309</v>
      </c>
      <c r="C98" s="297"/>
      <c r="D98" s="297"/>
      <c r="E98" s="297"/>
      <c r="F98" s="297"/>
      <c r="G98" s="297"/>
      <c r="H98" s="297"/>
      <c r="I98" s="297"/>
      <c r="J98" s="297"/>
      <c r="K98" s="298"/>
    </row>
    <row r="99" spans="2:11" x14ac:dyDescent="0.2">
      <c r="B99" s="302" t="s">
        <v>310</v>
      </c>
      <c r="C99" s="297"/>
      <c r="D99" s="297"/>
      <c r="E99" s="297"/>
      <c r="F99" s="297"/>
      <c r="G99" s="297"/>
      <c r="H99" s="297"/>
      <c r="I99" s="297"/>
      <c r="J99" s="297"/>
      <c r="K99" s="298"/>
    </row>
    <row r="100" spans="2:11" x14ac:dyDescent="0.2">
      <c r="B100" s="296"/>
      <c r="C100" s="297"/>
      <c r="D100" s="297"/>
      <c r="E100" s="297"/>
      <c r="F100" s="297"/>
      <c r="G100" s="297"/>
      <c r="H100" s="297"/>
      <c r="I100" s="297"/>
      <c r="J100" s="297"/>
      <c r="K100" s="298"/>
    </row>
    <row r="101" spans="2:11" x14ac:dyDescent="0.2">
      <c r="B101" s="296" t="s">
        <v>301</v>
      </c>
      <c r="C101" s="297"/>
      <c r="D101" s="297"/>
      <c r="E101" s="297"/>
      <c r="F101" s="297"/>
      <c r="G101" s="297"/>
      <c r="H101" s="297"/>
      <c r="I101" s="297"/>
      <c r="J101" s="297"/>
      <c r="K101" s="298"/>
    </row>
    <row r="102" spans="2:11" x14ac:dyDescent="0.2">
      <c r="B102" s="296" t="s">
        <v>306</v>
      </c>
      <c r="C102" s="297"/>
      <c r="D102" s="297"/>
      <c r="E102" s="297"/>
      <c r="F102" s="297"/>
      <c r="G102" s="297"/>
      <c r="H102" s="297"/>
      <c r="I102" s="297"/>
      <c r="J102" s="297"/>
      <c r="K102" s="298"/>
    </row>
    <row r="103" spans="2:11" x14ac:dyDescent="0.2">
      <c r="B103" s="296" t="s">
        <v>303</v>
      </c>
      <c r="C103" s="297"/>
      <c r="D103" s="297"/>
      <c r="E103" s="297"/>
      <c r="F103" s="297"/>
      <c r="G103" s="297"/>
      <c r="H103" s="297"/>
      <c r="I103" s="297"/>
      <c r="J103" s="297"/>
      <c r="K103" s="298"/>
    </row>
    <row r="104" spans="2:11" x14ac:dyDescent="0.2">
      <c r="B104" s="296"/>
      <c r="C104" s="297"/>
      <c r="D104" s="297"/>
      <c r="E104" s="297"/>
      <c r="F104" s="297"/>
      <c r="G104" s="297"/>
      <c r="H104" s="297"/>
      <c r="I104" s="297"/>
      <c r="J104" s="297"/>
      <c r="K104" s="298"/>
    </row>
    <row r="105" spans="2:11" x14ac:dyDescent="0.2">
      <c r="B105" s="296" t="s">
        <v>304</v>
      </c>
      <c r="C105" s="297"/>
      <c r="D105" s="297"/>
      <c r="E105" s="297"/>
      <c r="F105" s="297"/>
      <c r="G105" s="297"/>
      <c r="H105" s="297"/>
      <c r="I105" s="297"/>
      <c r="J105" s="297"/>
      <c r="K105" s="298"/>
    </row>
    <row r="106" spans="2:11" x14ac:dyDescent="0.2">
      <c r="B106" s="302" t="s">
        <v>307</v>
      </c>
      <c r="C106" s="297"/>
      <c r="D106" s="297"/>
      <c r="E106" s="297"/>
      <c r="F106" s="297"/>
      <c r="G106" s="297"/>
      <c r="H106" s="297"/>
      <c r="I106" s="297"/>
      <c r="J106" s="297"/>
      <c r="K106" s="298"/>
    </row>
    <row r="107" spans="2:11" x14ac:dyDescent="0.2">
      <c r="B107" s="296" t="s">
        <v>305</v>
      </c>
      <c r="C107" s="297"/>
      <c r="D107" s="297"/>
      <c r="E107" s="297"/>
      <c r="F107" s="297"/>
      <c r="G107" s="297"/>
      <c r="H107" s="297"/>
      <c r="I107" s="297"/>
      <c r="J107" s="297"/>
      <c r="K107" s="298"/>
    </row>
    <row r="108" spans="2:11" x14ac:dyDescent="0.2">
      <c r="B108" s="296" t="s">
        <v>308</v>
      </c>
      <c r="C108" s="297"/>
      <c r="D108" s="297"/>
      <c r="E108" s="297"/>
      <c r="F108" s="297"/>
      <c r="G108" s="297"/>
      <c r="H108" s="297"/>
      <c r="I108" s="297"/>
      <c r="J108" s="297"/>
      <c r="K108" s="298"/>
    </row>
    <row r="109" spans="2:11" x14ac:dyDescent="0.2">
      <c r="B109" s="296"/>
      <c r="C109" s="297"/>
      <c r="D109" s="297"/>
      <c r="E109" s="297"/>
      <c r="F109" s="297"/>
      <c r="G109" s="297"/>
      <c r="H109" s="297"/>
      <c r="I109" s="297"/>
      <c r="J109" s="297"/>
      <c r="K109" s="298"/>
    </row>
    <row r="110" spans="2:11" x14ac:dyDescent="0.2">
      <c r="B110" s="296" t="s">
        <v>311</v>
      </c>
      <c r="C110" s="297"/>
      <c r="D110" s="297"/>
      <c r="E110" s="297"/>
      <c r="F110" s="297"/>
      <c r="G110" s="297"/>
      <c r="H110" s="297"/>
      <c r="I110" s="297"/>
      <c r="J110" s="297"/>
      <c r="K110" s="298"/>
    </row>
    <row r="111" spans="2:11" x14ac:dyDescent="0.2">
      <c r="B111" s="296"/>
      <c r="C111" s="297"/>
      <c r="D111" s="297"/>
      <c r="E111" s="297"/>
      <c r="F111" s="297"/>
      <c r="G111" s="297"/>
      <c r="H111" s="297"/>
      <c r="I111" s="297"/>
      <c r="J111" s="297"/>
      <c r="K111" s="298"/>
    </row>
    <row r="112" spans="2:11" x14ac:dyDescent="0.2">
      <c r="B112" s="296" t="s">
        <v>312</v>
      </c>
      <c r="C112" s="297"/>
      <c r="D112" s="297"/>
      <c r="E112" s="297"/>
      <c r="F112" s="297"/>
      <c r="G112" s="297"/>
      <c r="H112" s="297"/>
      <c r="I112" s="297"/>
      <c r="J112" s="297"/>
      <c r="K112" s="298"/>
    </row>
    <row r="113" spans="2:11" x14ac:dyDescent="0.2">
      <c r="B113" s="302" t="s">
        <v>313</v>
      </c>
      <c r="C113" s="297"/>
      <c r="D113" s="297"/>
      <c r="E113" s="297"/>
      <c r="F113" s="297"/>
      <c r="G113" s="297"/>
      <c r="H113" s="297"/>
      <c r="I113" s="297"/>
      <c r="J113" s="297"/>
      <c r="K113" s="298"/>
    </row>
    <row r="114" spans="2:11" x14ac:dyDescent="0.2">
      <c r="B114" s="302" t="s">
        <v>314</v>
      </c>
      <c r="C114" s="297"/>
      <c r="D114" s="297"/>
      <c r="E114" s="297"/>
      <c r="F114" s="297"/>
      <c r="G114" s="297"/>
      <c r="H114" s="297"/>
      <c r="I114" s="297"/>
      <c r="J114" s="297"/>
      <c r="K114" s="298"/>
    </row>
    <row r="115" spans="2:11" x14ac:dyDescent="0.2">
      <c r="B115" s="302" t="s">
        <v>315</v>
      </c>
      <c r="C115" s="297"/>
      <c r="D115" s="297"/>
      <c r="E115" s="297"/>
      <c r="F115" s="297"/>
      <c r="G115" s="297"/>
      <c r="H115" s="297"/>
      <c r="I115" s="297"/>
      <c r="J115" s="297"/>
      <c r="K115" s="298"/>
    </row>
    <row r="116" spans="2:11" x14ac:dyDescent="0.2">
      <c r="B116" s="308" t="s">
        <v>316</v>
      </c>
      <c r="C116" s="300"/>
      <c r="D116" s="300"/>
      <c r="E116" s="300"/>
      <c r="F116" s="300"/>
      <c r="G116" s="300"/>
      <c r="H116" s="300"/>
      <c r="I116" s="300"/>
      <c r="J116" s="300"/>
      <c r="K116" s="301"/>
    </row>
    <row r="119" spans="2:11" x14ac:dyDescent="0.2">
      <c r="B119" s="340" t="s">
        <v>109</v>
      </c>
      <c r="C119" s="341"/>
      <c r="D119" s="341"/>
      <c r="E119" s="341"/>
      <c r="F119" s="341"/>
      <c r="G119" s="341"/>
      <c r="H119" s="341"/>
      <c r="I119" s="341"/>
      <c r="J119" s="341"/>
      <c r="K119" s="342"/>
    </row>
    <row r="120" spans="2:11" x14ac:dyDescent="0.2">
      <c r="B120" s="296" t="s">
        <v>219</v>
      </c>
      <c r="C120" s="297"/>
      <c r="D120" s="297"/>
      <c r="E120" s="297"/>
      <c r="F120" s="297"/>
      <c r="G120" s="297"/>
      <c r="H120" s="297"/>
      <c r="I120" s="297"/>
      <c r="J120" s="297"/>
      <c r="K120" s="298"/>
    </row>
    <row r="121" spans="2:11" x14ac:dyDescent="0.2">
      <c r="B121" s="296" t="s">
        <v>221</v>
      </c>
      <c r="C121" s="297"/>
      <c r="D121" s="297"/>
      <c r="E121" s="297"/>
      <c r="F121" s="297"/>
      <c r="G121" s="297"/>
      <c r="H121" s="297"/>
      <c r="I121" s="297"/>
      <c r="J121" s="297"/>
      <c r="K121" s="298"/>
    </row>
    <row r="122" spans="2:11" x14ac:dyDescent="0.2">
      <c r="B122" s="302" t="s">
        <v>222</v>
      </c>
      <c r="C122" s="297"/>
      <c r="D122" s="297"/>
      <c r="E122" s="297"/>
      <c r="F122" s="297"/>
      <c r="G122" s="297"/>
      <c r="H122" s="297"/>
      <c r="I122" s="297"/>
      <c r="J122" s="297"/>
      <c r="K122" s="298"/>
    </row>
    <row r="123" spans="2:11" x14ac:dyDescent="0.2">
      <c r="B123" s="302" t="s">
        <v>223</v>
      </c>
      <c r="C123" s="297"/>
      <c r="D123" s="297"/>
      <c r="E123" s="297"/>
      <c r="F123" s="297"/>
      <c r="G123" s="297"/>
      <c r="H123" s="297"/>
      <c r="I123" s="297"/>
      <c r="J123" s="297"/>
      <c r="K123" s="298"/>
    </row>
    <row r="124" spans="2:11" x14ac:dyDescent="0.2">
      <c r="B124" s="302" t="s">
        <v>224</v>
      </c>
      <c r="C124" s="297"/>
      <c r="D124" s="297"/>
      <c r="E124" s="297"/>
      <c r="F124" s="297"/>
      <c r="G124" s="297"/>
      <c r="H124" s="297"/>
      <c r="I124" s="297"/>
      <c r="J124" s="297"/>
      <c r="K124" s="298"/>
    </row>
    <row r="125" spans="2:11" x14ac:dyDescent="0.2">
      <c r="B125" s="302" t="s">
        <v>225</v>
      </c>
      <c r="C125" s="297"/>
      <c r="D125" s="297"/>
      <c r="E125" s="297"/>
      <c r="F125" s="297"/>
      <c r="G125" s="297"/>
      <c r="H125" s="297"/>
      <c r="I125" s="297"/>
      <c r="J125" s="297"/>
      <c r="K125" s="298"/>
    </row>
    <row r="126" spans="2:11" x14ac:dyDescent="0.2">
      <c r="B126" s="296"/>
      <c r="C126" s="297"/>
      <c r="D126" s="297"/>
      <c r="E126" s="297"/>
      <c r="F126" s="297"/>
      <c r="G126" s="297"/>
      <c r="H126" s="297"/>
      <c r="I126" s="297"/>
      <c r="J126" s="297"/>
      <c r="K126" s="298"/>
    </row>
    <row r="127" spans="2:11" x14ac:dyDescent="0.2">
      <c r="B127" s="296" t="s">
        <v>226</v>
      </c>
      <c r="C127" s="297"/>
      <c r="D127" s="297"/>
      <c r="E127" s="297"/>
      <c r="F127" s="297"/>
      <c r="G127" s="297"/>
      <c r="H127" s="297"/>
      <c r="I127" s="297"/>
      <c r="J127" s="297"/>
      <c r="K127" s="298"/>
    </row>
    <row r="128" spans="2:11" x14ac:dyDescent="0.2">
      <c r="B128" s="296"/>
      <c r="C128" s="297"/>
      <c r="D128" s="297"/>
      <c r="E128" s="297"/>
      <c r="F128" s="297"/>
      <c r="G128" s="297"/>
      <c r="H128" s="297"/>
      <c r="I128" s="297"/>
      <c r="J128" s="297"/>
      <c r="K128" s="298"/>
    </row>
    <row r="129" spans="2:11" x14ac:dyDescent="0.2">
      <c r="B129" s="296" t="s">
        <v>227</v>
      </c>
      <c r="C129" s="297"/>
      <c r="D129" s="297"/>
      <c r="E129" s="297"/>
      <c r="F129" s="297"/>
      <c r="G129" s="297"/>
      <c r="H129" s="297"/>
      <c r="I129" s="297"/>
      <c r="J129" s="297"/>
      <c r="K129" s="298"/>
    </row>
    <row r="130" spans="2:11" x14ac:dyDescent="0.2">
      <c r="B130" s="296" t="s">
        <v>228</v>
      </c>
      <c r="C130" s="297"/>
      <c r="D130" s="297"/>
      <c r="E130" s="297"/>
      <c r="F130" s="297"/>
      <c r="G130" s="297"/>
      <c r="H130" s="297"/>
      <c r="I130" s="297"/>
      <c r="J130" s="297"/>
      <c r="K130" s="298"/>
    </row>
    <row r="131" spans="2:11" x14ac:dyDescent="0.2">
      <c r="B131" s="302" t="s">
        <v>229</v>
      </c>
      <c r="C131" s="297"/>
      <c r="D131" s="297"/>
      <c r="E131" s="297"/>
      <c r="F131" s="297"/>
      <c r="G131" s="297"/>
      <c r="H131" s="297"/>
      <c r="I131" s="297"/>
      <c r="J131" s="297"/>
      <c r="K131" s="298"/>
    </row>
    <row r="132" spans="2:11" x14ac:dyDescent="0.2">
      <c r="B132" s="302" t="s">
        <v>230</v>
      </c>
      <c r="C132" s="297"/>
      <c r="D132" s="297"/>
      <c r="E132" s="297"/>
      <c r="F132" s="297"/>
      <c r="G132" s="297"/>
      <c r="H132" s="297"/>
      <c r="I132" s="297"/>
      <c r="J132" s="297"/>
      <c r="K132" s="298"/>
    </row>
    <row r="133" spans="2:11" x14ac:dyDescent="0.2">
      <c r="B133" s="302" t="s">
        <v>231</v>
      </c>
      <c r="C133" s="297"/>
      <c r="D133" s="297"/>
      <c r="E133" s="297"/>
      <c r="F133" s="297"/>
      <c r="G133" s="297"/>
      <c r="H133" s="297"/>
      <c r="I133" s="297"/>
      <c r="J133" s="297"/>
      <c r="K133" s="298"/>
    </row>
    <row r="134" spans="2:11" x14ac:dyDescent="0.2">
      <c r="B134" s="302" t="s">
        <v>232</v>
      </c>
      <c r="C134" s="297"/>
      <c r="D134" s="297"/>
      <c r="E134" s="297"/>
      <c r="F134" s="297"/>
      <c r="G134" s="297"/>
      <c r="H134" s="297"/>
      <c r="I134" s="297"/>
      <c r="J134" s="297"/>
      <c r="K134" s="298"/>
    </row>
    <row r="135" spans="2:11" x14ac:dyDescent="0.2">
      <c r="B135" s="296"/>
      <c r="C135" s="297"/>
      <c r="D135" s="297"/>
      <c r="E135" s="297"/>
      <c r="F135" s="297"/>
      <c r="G135" s="297"/>
      <c r="H135" s="297"/>
      <c r="I135" s="297"/>
      <c r="J135" s="297"/>
      <c r="K135" s="298"/>
    </row>
    <row r="136" spans="2:11" x14ac:dyDescent="0.2">
      <c r="B136" s="296" t="s">
        <v>233</v>
      </c>
      <c r="C136" s="297"/>
      <c r="D136" s="297"/>
      <c r="E136" s="297"/>
      <c r="F136" s="297"/>
      <c r="G136" s="297"/>
      <c r="H136" s="297"/>
      <c r="I136" s="297"/>
      <c r="J136" s="297"/>
      <c r="K136" s="298"/>
    </row>
    <row r="137" spans="2:11" x14ac:dyDescent="0.2">
      <c r="B137" s="296" t="s">
        <v>234</v>
      </c>
      <c r="C137" s="297"/>
      <c r="D137" s="297"/>
      <c r="E137" s="297"/>
      <c r="F137" s="297"/>
      <c r="G137" s="297"/>
      <c r="H137" s="297"/>
      <c r="I137" s="297"/>
      <c r="J137" s="297"/>
      <c r="K137" s="298"/>
    </row>
    <row r="138" spans="2:11" x14ac:dyDescent="0.2">
      <c r="B138" s="296"/>
      <c r="C138" s="297"/>
      <c r="D138" s="297"/>
      <c r="E138" s="297"/>
      <c r="F138" s="297"/>
      <c r="G138" s="297"/>
      <c r="H138" s="297"/>
      <c r="I138" s="297"/>
      <c r="J138" s="297"/>
      <c r="K138" s="298"/>
    </row>
    <row r="139" spans="2:11" x14ac:dyDescent="0.2">
      <c r="B139" s="296" t="s">
        <v>235</v>
      </c>
      <c r="C139" s="297"/>
      <c r="D139" s="297"/>
      <c r="E139" s="297"/>
      <c r="F139" s="297"/>
      <c r="G139" s="297"/>
      <c r="H139" s="297"/>
      <c r="I139" s="297"/>
      <c r="J139" s="297"/>
      <c r="K139" s="298"/>
    </row>
    <row r="140" spans="2:11" x14ac:dyDescent="0.2">
      <c r="B140" s="296"/>
      <c r="C140" s="297"/>
      <c r="D140" s="297"/>
      <c r="E140" s="297"/>
      <c r="F140" s="297"/>
      <c r="G140" s="297"/>
      <c r="H140" s="297"/>
      <c r="I140" s="297"/>
      <c r="J140" s="297"/>
      <c r="K140" s="298"/>
    </row>
    <row r="141" spans="2:11" x14ac:dyDescent="0.2">
      <c r="B141" s="296" t="s">
        <v>239</v>
      </c>
      <c r="C141" s="297"/>
      <c r="D141" s="297"/>
      <c r="E141" s="297"/>
      <c r="F141" s="297"/>
      <c r="G141" s="297"/>
      <c r="H141" s="297"/>
      <c r="I141" s="297"/>
      <c r="J141" s="297"/>
      <c r="K141" s="298"/>
    </row>
    <row r="142" spans="2:11" x14ac:dyDescent="0.2">
      <c r="B142" s="296"/>
      <c r="C142" s="297"/>
      <c r="D142" s="297"/>
      <c r="E142" s="297"/>
      <c r="F142" s="297"/>
      <c r="G142" s="297"/>
      <c r="H142" s="297"/>
      <c r="I142" s="297"/>
      <c r="J142" s="297"/>
      <c r="K142" s="298"/>
    </row>
    <row r="143" spans="2:11" x14ac:dyDescent="0.2">
      <c r="B143" s="296" t="s">
        <v>240</v>
      </c>
      <c r="C143" s="297"/>
      <c r="D143" s="297"/>
      <c r="E143" s="297"/>
      <c r="F143" s="297"/>
      <c r="G143" s="297"/>
      <c r="H143" s="297"/>
      <c r="I143" s="297"/>
      <c r="J143" s="297"/>
      <c r="K143" s="298"/>
    </row>
    <row r="144" spans="2:11" x14ac:dyDescent="0.2">
      <c r="B144" s="302" t="s">
        <v>241</v>
      </c>
      <c r="C144" s="297"/>
      <c r="D144" s="297"/>
      <c r="E144" s="297"/>
      <c r="F144" s="297"/>
      <c r="G144" s="297"/>
      <c r="H144" s="297"/>
      <c r="I144" s="297"/>
      <c r="J144" s="297"/>
      <c r="K144" s="298"/>
    </row>
    <row r="145" spans="2:11" x14ac:dyDescent="0.2">
      <c r="B145" s="296"/>
      <c r="C145" s="297"/>
      <c r="D145" s="297"/>
      <c r="E145" s="297"/>
      <c r="F145" s="297"/>
      <c r="G145" s="297"/>
      <c r="H145" s="297"/>
      <c r="I145" s="297"/>
      <c r="J145" s="297"/>
      <c r="K145" s="298"/>
    </row>
    <row r="146" spans="2:11" x14ac:dyDescent="0.2">
      <c r="B146" s="296" t="s">
        <v>242</v>
      </c>
      <c r="C146" s="297"/>
      <c r="D146" s="297"/>
      <c r="E146" s="297"/>
      <c r="F146" s="297"/>
      <c r="G146" s="297"/>
      <c r="H146" s="297"/>
      <c r="I146" s="297"/>
      <c r="J146" s="297"/>
      <c r="K146" s="298"/>
    </row>
    <row r="147" spans="2:11" x14ac:dyDescent="0.2">
      <c r="B147" s="296"/>
      <c r="C147" s="297"/>
      <c r="D147" s="297"/>
      <c r="E147" s="297"/>
      <c r="F147" s="297"/>
      <c r="G147" s="297"/>
      <c r="H147" s="297"/>
      <c r="I147" s="297"/>
      <c r="J147" s="297"/>
      <c r="K147" s="298"/>
    </row>
    <row r="148" spans="2:11" x14ac:dyDescent="0.2">
      <c r="B148" s="296" t="s">
        <v>244</v>
      </c>
      <c r="C148" s="297"/>
      <c r="D148" s="297"/>
      <c r="E148" s="297"/>
      <c r="F148" s="297"/>
      <c r="G148" s="297"/>
      <c r="H148" s="297"/>
      <c r="I148" s="297"/>
      <c r="J148" s="297"/>
      <c r="K148" s="298"/>
    </row>
    <row r="149" spans="2:11" x14ac:dyDescent="0.2">
      <c r="B149" s="302" t="s">
        <v>243</v>
      </c>
      <c r="C149" s="297"/>
      <c r="D149" s="297"/>
      <c r="E149" s="297"/>
      <c r="F149" s="297"/>
      <c r="G149" s="297"/>
      <c r="H149" s="297"/>
      <c r="I149" s="297"/>
      <c r="J149" s="297"/>
      <c r="K149" s="298"/>
    </row>
    <row r="150" spans="2:11" x14ac:dyDescent="0.2">
      <c r="B150" s="296"/>
      <c r="C150" s="297"/>
      <c r="D150" s="297"/>
      <c r="E150" s="297"/>
      <c r="F150" s="297"/>
      <c r="G150" s="297"/>
      <c r="H150" s="297"/>
      <c r="I150" s="297"/>
      <c r="J150" s="297"/>
      <c r="K150" s="298"/>
    </row>
    <row r="151" spans="2:11" x14ac:dyDescent="0.2">
      <c r="B151" s="296" t="s">
        <v>245</v>
      </c>
      <c r="C151" s="297"/>
      <c r="D151" s="297"/>
      <c r="E151" s="297"/>
      <c r="F151" s="297"/>
      <c r="G151" s="297"/>
      <c r="H151" s="297"/>
      <c r="I151" s="297"/>
      <c r="J151" s="297"/>
      <c r="K151" s="298"/>
    </row>
    <row r="152" spans="2:11" x14ac:dyDescent="0.2">
      <c r="B152" s="302" t="s">
        <v>246</v>
      </c>
      <c r="C152" s="297"/>
      <c r="D152" s="297"/>
      <c r="E152" s="297"/>
      <c r="F152" s="297"/>
      <c r="G152" s="297"/>
      <c r="H152" s="297"/>
      <c r="I152" s="297"/>
      <c r="J152" s="297"/>
      <c r="K152" s="298"/>
    </row>
    <row r="153" spans="2:11" x14ac:dyDescent="0.2">
      <c r="B153" s="296"/>
      <c r="C153" s="297"/>
      <c r="D153" s="297"/>
      <c r="E153" s="297"/>
      <c r="F153" s="297"/>
      <c r="G153" s="297"/>
      <c r="H153" s="297"/>
      <c r="I153" s="297"/>
      <c r="J153" s="297"/>
      <c r="K153" s="298"/>
    </row>
    <row r="154" spans="2:11" x14ac:dyDescent="0.2">
      <c r="B154" s="296" t="s">
        <v>247</v>
      </c>
      <c r="C154" s="297"/>
      <c r="D154" s="297"/>
      <c r="E154" s="297"/>
      <c r="F154" s="297"/>
      <c r="G154" s="297"/>
      <c r="H154" s="297"/>
      <c r="I154" s="297"/>
      <c r="J154" s="297"/>
      <c r="K154" s="298"/>
    </row>
    <row r="155" spans="2:11" x14ac:dyDescent="0.2">
      <c r="B155" s="302" t="s">
        <v>248</v>
      </c>
      <c r="C155" s="297"/>
      <c r="D155" s="297"/>
      <c r="E155" s="297"/>
      <c r="F155" s="297"/>
      <c r="G155" s="297"/>
      <c r="H155" s="297"/>
      <c r="I155" s="297"/>
      <c r="J155" s="297"/>
      <c r="K155" s="298"/>
    </row>
    <row r="156" spans="2:11" x14ac:dyDescent="0.2">
      <c r="B156" s="302" t="s">
        <v>249</v>
      </c>
      <c r="C156" s="297"/>
      <c r="D156" s="297"/>
      <c r="E156" s="297"/>
      <c r="F156" s="297"/>
      <c r="G156" s="297"/>
      <c r="H156" s="297"/>
      <c r="I156" s="297"/>
      <c r="J156" s="297"/>
      <c r="K156" s="298"/>
    </row>
    <row r="157" spans="2:11" x14ac:dyDescent="0.2">
      <c r="B157" s="302" t="s">
        <v>250</v>
      </c>
      <c r="C157" s="297"/>
      <c r="D157" s="297"/>
      <c r="E157" s="297"/>
      <c r="F157" s="297"/>
      <c r="G157" s="297"/>
      <c r="H157" s="297"/>
      <c r="I157" s="297"/>
      <c r="J157" s="297"/>
      <c r="K157" s="298"/>
    </row>
    <row r="158" spans="2:11" x14ac:dyDescent="0.2">
      <c r="B158" s="309" t="s">
        <v>251</v>
      </c>
      <c r="C158" s="300"/>
      <c r="D158" s="300"/>
      <c r="E158" s="300"/>
      <c r="F158" s="300"/>
      <c r="G158" s="300"/>
      <c r="H158" s="300"/>
      <c r="I158" s="300"/>
      <c r="J158" s="300"/>
      <c r="K158" s="301"/>
    </row>
    <row r="161" spans="2:11" x14ac:dyDescent="0.2">
      <c r="B161" s="340" t="s">
        <v>13</v>
      </c>
      <c r="C161" s="341"/>
      <c r="D161" s="341"/>
      <c r="E161" s="341"/>
      <c r="F161" s="341"/>
      <c r="G161" s="341"/>
      <c r="H161" s="341"/>
      <c r="I161" s="341"/>
      <c r="J161" s="341"/>
      <c r="K161" s="342"/>
    </row>
    <row r="162" spans="2:11" x14ac:dyDescent="0.2">
      <c r="B162" s="296" t="s">
        <v>212</v>
      </c>
      <c r="C162" s="297"/>
      <c r="D162" s="297"/>
      <c r="E162" s="297"/>
      <c r="F162" s="297"/>
      <c r="G162" s="297"/>
      <c r="H162" s="297"/>
      <c r="I162" s="297"/>
      <c r="J162" s="297"/>
      <c r="K162" s="298"/>
    </row>
    <row r="163" spans="2:11" x14ac:dyDescent="0.2">
      <c r="B163" s="296" t="s">
        <v>211</v>
      </c>
      <c r="C163" s="297"/>
      <c r="D163" s="297"/>
      <c r="E163" s="297"/>
      <c r="F163" s="297"/>
      <c r="G163" s="297"/>
      <c r="H163" s="297"/>
      <c r="I163" s="297"/>
      <c r="J163" s="297"/>
      <c r="K163" s="298"/>
    </row>
    <row r="164" spans="2:11" x14ac:dyDescent="0.2">
      <c r="B164" s="296" t="s">
        <v>210</v>
      </c>
      <c r="C164" s="297"/>
      <c r="D164" s="297"/>
      <c r="E164" s="297"/>
      <c r="F164" s="297"/>
      <c r="G164" s="297"/>
      <c r="H164" s="297"/>
      <c r="I164" s="297"/>
      <c r="J164" s="297"/>
      <c r="K164" s="298"/>
    </row>
    <row r="165" spans="2:11" x14ac:dyDescent="0.2">
      <c r="B165" s="296" t="s">
        <v>209</v>
      </c>
      <c r="C165" s="297"/>
      <c r="D165" s="297"/>
      <c r="E165" s="297"/>
      <c r="F165" s="297"/>
      <c r="G165" s="297"/>
      <c r="H165" s="297"/>
      <c r="I165" s="297"/>
      <c r="J165" s="297"/>
      <c r="K165" s="298"/>
    </row>
    <row r="166" spans="2:11" x14ac:dyDescent="0.2">
      <c r="B166" s="310" t="s">
        <v>167</v>
      </c>
      <c r="C166" s="297"/>
      <c r="D166" s="297"/>
      <c r="E166" s="297"/>
      <c r="F166" s="297"/>
      <c r="G166" s="297"/>
      <c r="H166" s="297"/>
      <c r="I166" s="297"/>
      <c r="J166" s="297"/>
      <c r="K166" s="298"/>
    </row>
    <row r="167" spans="2:11" x14ac:dyDescent="0.2">
      <c r="B167" s="296" t="s">
        <v>139</v>
      </c>
      <c r="C167" s="297" t="s">
        <v>148</v>
      </c>
      <c r="D167" s="297"/>
      <c r="E167" s="297"/>
      <c r="F167" s="297"/>
      <c r="G167" s="297"/>
      <c r="H167" s="297"/>
      <c r="I167" s="297"/>
      <c r="J167" s="297"/>
      <c r="K167" s="298"/>
    </row>
    <row r="168" spans="2:11" x14ac:dyDescent="0.2">
      <c r="B168" s="296" t="s">
        <v>140</v>
      </c>
      <c r="C168" s="297" t="s">
        <v>137</v>
      </c>
      <c r="D168" s="297"/>
      <c r="E168" s="297"/>
      <c r="F168" s="297"/>
      <c r="G168" s="297"/>
      <c r="H168" s="297"/>
      <c r="I168" s="297"/>
      <c r="J168" s="297"/>
      <c r="K168" s="298"/>
    </row>
    <row r="169" spans="2:11" x14ac:dyDescent="0.2">
      <c r="B169" s="296" t="s">
        <v>141</v>
      </c>
      <c r="C169" s="297" t="s">
        <v>138</v>
      </c>
      <c r="D169" s="297"/>
      <c r="E169" s="297"/>
      <c r="F169" s="297"/>
      <c r="G169" s="297"/>
      <c r="H169" s="297"/>
      <c r="I169" s="297"/>
      <c r="J169" s="297"/>
      <c r="K169" s="298"/>
    </row>
    <row r="170" spans="2:11" x14ac:dyDescent="0.2">
      <c r="B170" s="296"/>
      <c r="C170" s="297"/>
      <c r="D170" s="297"/>
      <c r="E170" s="297"/>
      <c r="F170" s="297"/>
      <c r="G170" s="297"/>
      <c r="H170" s="297"/>
      <c r="I170" s="297"/>
      <c r="J170" s="297"/>
      <c r="K170" s="298"/>
    </row>
    <row r="171" spans="2:11" x14ac:dyDescent="0.2">
      <c r="B171" s="299" t="s">
        <v>143</v>
      </c>
      <c r="C171" s="300" t="s">
        <v>142</v>
      </c>
      <c r="D171" s="300"/>
      <c r="E171" s="300"/>
      <c r="F171" s="300"/>
      <c r="G171" s="300"/>
      <c r="H171" s="300"/>
      <c r="I171" s="300"/>
      <c r="J171" s="300"/>
      <c r="K171" s="301"/>
    </row>
  </sheetData>
  <mergeCells count="5">
    <mergeCell ref="B2:K2"/>
    <mergeCell ref="B32:K32"/>
    <mergeCell ref="B81:K81"/>
    <mergeCell ref="B119:K119"/>
    <mergeCell ref="B161:K16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Metrics</vt:lpstr>
      <vt:lpstr>Earnings Call 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George</dc:creator>
  <cp:lastModifiedBy>me</cp:lastModifiedBy>
  <dcterms:created xsi:type="dcterms:W3CDTF">2022-02-21T22:04:54Z</dcterms:created>
  <dcterms:modified xsi:type="dcterms:W3CDTF">2024-02-07T21:45:16Z</dcterms:modified>
</cp:coreProperties>
</file>