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7DD1D5A-7127-416F-AE4C-F2532E2EF599}" xr6:coauthVersionLast="36" xr6:coauthVersionMax="36" xr10:uidLastSave="{00000000-0000-0000-0000-000000000000}"/>
  <bookViews>
    <workbookView xWindow="0" yWindow="0" windowWidth="28800" windowHeight="12225" activeTab="1" xr2:uid="{DD3A8C14-BBF5-4F78-B1B7-C8887875BE3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P96" i="2"/>
  <c r="P95" i="2"/>
  <c r="P94" i="2"/>
  <c r="P93" i="2"/>
  <c r="P91" i="2"/>
  <c r="T100" i="2"/>
  <c r="T96" i="2"/>
  <c r="T95" i="2"/>
  <c r="T94" i="2"/>
  <c r="T93" i="2"/>
  <c r="T91" i="2"/>
  <c r="U102" i="2"/>
  <c r="R102" i="2"/>
  <c r="Q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S102" i="2"/>
  <c r="S81" i="2"/>
  <c r="S79" i="2"/>
  <c r="S78" i="2"/>
  <c r="S74" i="2"/>
  <c r="S73" i="2"/>
  <c r="S75" i="2" s="1"/>
  <c r="S70" i="2"/>
  <c r="S71" i="2" s="1"/>
  <c r="T70" i="2"/>
  <c r="T71" i="2" s="1"/>
  <c r="T81" i="2" s="1"/>
  <c r="S68" i="2"/>
  <c r="S36" i="2"/>
  <c r="S34" i="2"/>
  <c r="S33" i="2"/>
  <c r="S32" i="2"/>
  <c r="S31" i="2"/>
  <c r="S30" i="2"/>
  <c r="S29" i="2"/>
  <c r="O36" i="2"/>
  <c r="O34" i="2"/>
  <c r="O33" i="2"/>
  <c r="O32" i="2"/>
  <c r="O31" i="2"/>
  <c r="O30" i="2"/>
  <c r="O29" i="2"/>
  <c r="Q27" i="2"/>
  <c r="P27" i="2"/>
  <c r="T27" i="2"/>
  <c r="S26" i="2"/>
  <c r="S25" i="2"/>
  <c r="S24" i="2"/>
  <c r="S21" i="2"/>
  <c r="T78" i="2"/>
  <c r="T75" i="2"/>
  <c r="T74" i="2"/>
  <c r="T73" i="2"/>
  <c r="T68" i="2"/>
  <c r="T26" i="2"/>
  <c r="T25" i="2"/>
  <c r="T24" i="2"/>
  <c r="U27" i="2"/>
  <c r="P36" i="2"/>
  <c r="T36" i="2"/>
  <c r="T34" i="2"/>
  <c r="T33" i="2"/>
  <c r="T32" i="2"/>
  <c r="T31" i="2"/>
  <c r="T30" i="2"/>
  <c r="T29" i="2"/>
  <c r="P34" i="2"/>
  <c r="P33" i="2"/>
  <c r="P32" i="2"/>
  <c r="P31" i="2"/>
  <c r="P30" i="2"/>
  <c r="P29" i="2"/>
  <c r="T21" i="2"/>
  <c r="T98" i="2" l="1"/>
  <c r="T79" i="2"/>
  <c r="T102" i="2"/>
  <c r="S100" i="2"/>
  <c r="R100" i="2"/>
  <c r="Q100" i="2"/>
  <c r="P100" i="2"/>
  <c r="P102" i="2" s="1"/>
  <c r="O100" i="2"/>
  <c r="O102" i="2" s="1"/>
  <c r="N100" i="2"/>
  <c r="M100" i="2"/>
  <c r="L100" i="2"/>
  <c r="K100" i="2"/>
  <c r="J100" i="2"/>
  <c r="I100" i="2"/>
  <c r="H100" i="2"/>
  <c r="G100" i="2"/>
  <c r="F100" i="2"/>
  <c r="E100" i="2"/>
  <c r="D100" i="2"/>
  <c r="C100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U100" i="2"/>
  <c r="U98" i="2"/>
  <c r="U78" i="2"/>
  <c r="D11" i="1" l="1"/>
  <c r="D10" i="1"/>
  <c r="D9" i="1"/>
  <c r="D7" i="1"/>
  <c r="C9" i="1"/>
  <c r="U75" i="2"/>
  <c r="U79" i="2" s="1"/>
  <c r="U74" i="2"/>
  <c r="C10" i="1" s="1"/>
  <c r="U73" i="2"/>
  <c r="U70" i="2"/>
  <c r="U71" i="2" s="1"/>
  <c r="U68" i="2"/>
  <c r="D28" i="1"/>
  <c r="K65" i="2"/>
  <c r="H65" i="2"/>
  <c r="G65" i="2"/>
  <c r="T60" i="2"/>
  <c r="T65" i="2" s="1"/>
  <c r="S60" i="2"/>
  <c r="S65" i="2" s="1"/>
  <c r="R60" i="2"/>
  <c r="R65" i="2" s="1"/>
  <c r="Q60" i="2"/>
  <c r="Q65" i="2" s="1"/>
  <c r="P60" i="2"/>
  <c r="P65" i="2" s="1"/>
  <c r="O60" i="2"/>
  <c r="O65" i="2" s="1"/>
  <c r="N60" i="2"/>
  <c r="N65" i="2" s="1"/>
  <c r="M60" i="2"/>
  <c r="M65" i="2" s="1"/>
  <c r="L60" i="2"/>
  <c r="L65" i="2" s="1"/>
  <c r="K60" i="2"/>
  <c r="J60" i="2"/>
  <c r="J65" i="2" s="1"/>
  <c r="I60" i="2"/>
  <c r="I65" i="2" s="1"/>
  <c r="H60" i="2"/>
  <c r="G60" i="2"/>
  <c r="F60" i="2"/>
  <c r="F65" i="2" s="1"/>
  <c r="E60" i="2"/>
  <c r="E65" i="2" s="1"/>
  <c r="D60" i="2"/>
  <c r="D65" i="2" s="1"/>
  <c r="C60" i="2"/>
  <c r="C65" i="2" s="1"/>
  <c r="S54" i="2"/>
  <c r="L54" i="2"/>
  <c r="G54" i="2"/>
  <c r="T47" i="2"/>
  <c r="T54" i="2" s="1"/>
  <c r="S47" i="2"/>
  <c r="R47" i="2"/>
  <c r="R54" i="2" s="1"/>
  <c r="Q47" i="2"/>
  <c r="Q54" i="2" s="1"/>
  <c r="P47" i="2"/>
  <c r="P54" i="2" s="1"/>
  <c r="O47" i="2"/>
  <c r="O54" i="2" s="1"/>
  <c r="N47" i="2"/>
  <c r="N54" i="2" s="1"/>
  <c r="M47" i="2"/>
  <c r="M54" i="2" s="1"/>
  <c r="L47" i="2"/>
  <c r="K47" i="2"/>
  <c r="K54" i="2" s="1"/>
  <c r="J47" i="2"/>
  <c r="J54" i="2" s="1"/>
  <c r="I47" i="2"/>
  <c r="I54" i="2" s="1"/>
  <c r="H47" i="2"/>
  <c r="H54" i="2" s="1"/>
  <c r="G47" i="2"/>
  <c r="F47" i="2"/>
  <c r="F54" i="2" s="1"/>
  <c r="E47" i="2"/>
  <c r="E54" i="2" s="1"/>
  <c r="D47" i="2"/>
  <c r="D54" i="2" s="1"/>
  <c r="C47" i="2"/>
  <c r="C54" i="2" s="1"/>
  <c r="U60" i="2"/>
  <c r="U65" i="2" s="1"/>
  <c r="U47" i="2"/>
  <c r="U54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K10" i="2"/>
  <c r="T6" i="2"/>
  <c r="S6" i="2"/>
  <c r="R6" i="2"/>
  <c r="Q6" i="2"/>
  <c r="Q36" i="2" s="1"/>
  <c r="P6" i="2"/>
  <c r="O6" i="2"/>
  <c r="N6" i="2"/>
  <c r="M6" i="2"/>
  <c r="L6" i="2"/>
  <c r="K6" i="2"/>
  <c r="J6" i="2"/>
  <c r="I6" i="2"/>
  <c r="H6" i="2"/>
  <c r="G6" i="2"/>
  <c r="F6" i="2"/>
  <c r="E6" i="2"/>
  <c r="D6" i="2"/>
  <c r="D10" i="2" s="1"/>
  <c r="C6" i="2"/>
  <c r="C10" i="2" s="1"/>
  <c r="C7" i="1"/>
  <c r="U15" i="2"/>
  <c r="U9" i="2"/>
  <c r="U6" i="2"/>
  <c r="U36" i="2" s="1"/>
  <c r="O10" i="2" l="1"/>
  <c r="O16" i="2" s="1"/>
  <c r="O18" i="2" s="1"/>
  <c r="O20" i="2" s="1"/>
  <c r="O21" i="2" s="1"/>
  <c r="S10" i="2"/>
  <c r="S16" i="2" s="1"/>
  <c r="S18" i="2" s="1"/>
  <c r="S20" i="2" s="1"/>
  <c r="C33" i="1"/>
  <c r="U81" i="2"/>
  <c r="P10" i="2"/>
  <c r="P16" i="2" s="1"/>
  <c r="P18" i="2" s="1"/>
  <c r="P20" i="2" s="1"/>
  <c r="T10" i="2"/>
  <c r="T16" i="2" s="1"/>
  <c r="T18" i="2" s="1"/>
  <c r="T20" i="2" s="1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R10" i="2"/>
  <c r="R16" i="2" s="1"/>
  <c r="R18" i="2" s="1"/>
  <c r="R20" i="2" s="1"/>
  <c r="F10" i="2"/>
  <c r="F16" i="2" s="1"/>
  <c r="F18" i="2" s="1"/>
  <c r="F20" i="2" s="1"/>
  <c r="C16" i="2"/>
  <c r="C18" i="2" s="1"/>
  <c r="C20" i="2" s="1"/>
  <c r="D16" i="2"/>
  <c r="D18" i="2" s="1"/>
  <c r="D20" i="2" s="1"/>
  <c r="I10" i="2"/>
  <c r="I16" i="2" s="1"/>
  <c r="I18" i="2" s="1"/>
  <c r="I20" i="2" s="1"/>
  <c r="U24" i="2"/>
  <c r="U10" i="2"/>
  <c r="Q10" i="2"/>
  <c r="Q29" i="2" s="1"/>
  <c r="J10" i="2"/>
  <c r="J16" i="2" s="1"/>
  <c r="J18" i="2" s="1"/>
  <c r="J20" i="2" s="1"/>
  <c r="L10" i="2"/>
  <c r="M10" i="2"/>
  <c r="N16" i="2"/>
  <c r="N18" i="2" s="1"/>
  <c r="N20" i="2" s="1"/>
  <c r="K16" i="2"/>
  <c r="K18" i="2" s="1"/>
  <c r="K20" i="2" s="1"/>
  <c r="M16" i="2"/>
  <c r="M18" i="2" s="1"/>
  <c r="M20" i="2" s="1"/>
  <c r="L16" i="2"/>
  <c r="L18" i="2" s="1"/>
  <c r="L20" i="2" s="1"/>
  <c r="U16" i="2" l="1"/>
  <c r="U29" i="2"/>
  <c r="Q16" i="2"/>
  <c r="Q18" i="2" l="1"/>
  <c r="Q32" i="2"/>
  <c r="U18" i="2"/>
  <c r="U32" i="2"/>
  <c r="U20" i="2" l="1"/>
  <c r="U34" i="2"/>
  <c r="Q20" i="2"/>
  <c r="Q34" i="2"/>
  <c r="Q21" i="2" l="1"/>
  <c r="Q33" i="2"/>
  <c r="U21" i="2"/>
  <c r="U33" i="2"/>
  <c r="C8" i="1" l="1"/>
  <c r="C11" i="1"/>
  <c r="C12" i="1" l="1"/>
</calcChain>
</file>

<file path=xl/sharedStrings.xml><?xml version="1.0" encoding="utf-8"?>
<sst xmlns="http://schemas.openxmlformats.org/spreadsheetml/2006/main" count="163" uniqueCount="145">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</sst>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"/>
    <numFmt numFmtId="172" formatCode="0.0\x"/>
    <numFmt numFmtId="174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3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8" fontId="8" fillId="0" borderId="0" xfId="0" applyNumberFormat="1" applyFont="1" applyAlignment="1">
      <alignment horizontal="left" indent="1"/>
    </xf>
    <xf numFmtId="168" fontId="8" fillId="0" borderId="0" xfId="0" applyNumberFormat="1" applyFont="1"/>
    <xf numFmtId="168" fontId="2" fillId="0" borderId="0" xfId="0" applyNumberFormat="1" applyFont="1"/>
    <xf numFmtId="168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0" borderId="0" xfId="0" applyFont="1" applyAlignme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72" fontId="1" fillId="4" borderId="0" xfId="0" applyNumberFormat="1" applyFont="1" applyFill="1" applyBorder="1" applyAlignment="1">
      <alignment horizontal="center"/>
    </xf>
    <xf numFmtId="172" fontId="1" fillId="4" borderId="5" xfId="0" applyNumberFormat="1" applyFont="1" applyFill="1" applyBorder="1" applyAlignment="1">
      <alignment horizontal="center"/>
    </xf>
    <xf numFmtId="172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7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9525</xdr:rowOff>
    </xdr:from>
    <xdr:to>
      <xdr:col>21</xdr:col>
      <xdr:colOff>9525</xdr:colOff>
      <xdr:row>129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3477875" y="9525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0</xdr:row>
      <xdr:rowOff>0</xdr:rowOff>
    </xdr:from>
    <xdr:to>
      <xdr:col>30</xdr:col>
      <xdr:colOff>9525</xdr:colOff>
      <xdr:row>129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18964275" y="0"/>
          <a:ext cx="0" cy="201358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v" TargetMode="External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Y38"/>
  <sheetViews>
    <sheetView workbookViewId="0">
      <selection activeCell="M18" sqref="M18"/>
    </sheetView>
  </sheetViews>
  <sheetFormatPr defaultRowHeight="12.75" x14ac:dyDescent="0.2"/>
  <cols>
    <col min="1" max="16384" width="9.140625" style="1"/>
  </cols>
  <sheetData>
    <row r="2" spans="1:25" x14ac:dyDescent="0.2">
      <c r="B2" s="2" t="s">
        <v>0</v>
      </c>
      <c r="D2" s="25"/>
    </row>
    <row r="3" spans="1:25" x14ac:dyDescent="0.2">
      <c r="B3" s="2" t="s">
        <v>1</v>
      </c>
    </row>
    <row r="5" spans="1:25" x14ac:dyDescent="0.2">
      <c r="B5" s="4" t="s">
        <v>2</v>
      </c>
      <c r="C5" s="5"/>
      <c r="D5" s="6"/>
      <c r="G5" s="4" t="s">
        <v>64</v>
      </c>
      <c r="H5" s="5"/>
      <c r="I5" s="5"/>
      <c r="J5" s="5"/>
      <c r="K5" s="5"/>
      <c r="L5" s="5"/>
      <c r="M5" s="5"/>
      <c r="N5" s="5"/>
      <c r="O5" s="5"/>
      <c r="P5" s="5"/>
      <c r="Q5" s="6"/>
      <c r="T5" s="3" t="s">
        <v>107</v>
      </c>
      <c r="U5" s="3"/>
      <c r="V5" s="3"/>
      <c r="W5" s="3"/>
      <c r="X5" s="3"/>
      <c r="Y5" s="54"/>
    </row>
    <row r="6" spans="1:25" x14ac:dyDescent="0.2">
      <c r="B6" s="7" t="s">
        <v>3</v>
      </c>
      <c r="C6" s="8">
        <v>52.93</v>
      </c>
      <c r="D6" s="30"/>
      <c r="G6" s="18"/>
      <c r="H6" s="22"/>
      <c r="I6" s="22"/>
      <c r="J6" s="22"/>
      <c r="K6" s="22"/>
      <c r="L6" s="22"/>
      <c r="M6" s="22"/>
      <c r="N6" s="22"/>
      <c r="O6" s="22"/>
      <c r="P6" s="22"/>
      <c r="Q6" s="23"/>
      <c r="T6" s="11" t="s">
        <v>104</v>
      </c>
      <c r="U6" s="10"/>
      <c r="V6" s="10"/>
      <c r="W6" s="10"/>
      <c r="X6" s="10"/>
    </row>
    <row r="7" spans="1:25" x14ac:dyDescent="0.2">
      <c r="B7" s="7" t="s">
        <v>4</v>
      </c>
      <c r="C7" s="28">
        <f>'Financial Model'!U22</f>
        <v>1269.4252260000001</v>
      </c>
      <c r="D7" s="30" t="str">
        <f>$C$28</f>
        <v>Q322</v>
      </c>
      <c r="G7" s="18"/>
      <c r="H7" s="22"/>
      <c r="I7" s="22"/>
      <c r="J7" s="22"/>
      <c r="K7" s="22"/>
      <c r="L7" s="22"/>
      <c r="M7" s="22"/>
      <c r="N7" s="22"/>
      <c r="O7" s="22"/>
      <c r="P7" s="22"/>
      <c r="Q7" s="23"/>
      <c r="T7" s="55" t="s">
        <v>108</v>
      </c>
      <c r="U7" s="10"/>
      <c r="V7" s="10"/>
      <c r="W7" s="10"/>
      <c r="X7" s="10"/>
    </row>
    <row r="8" spans="1:25" x14ac:dyDescent="0.2">
      <c r="B8" s="7" t="s">
        <v>5</v>
      </c>
      <c r="C8" s="28">
        <f>C6*C7</f>
        <v>67190.677212180002</v>
      </c>
      <c r="D8" s="30"/>
      <c r="G8" s="18"/>
      <c r="H8" s="22"/>
      <c r="I8" s="22"/>
      <c r="J8" s="22"/>
      <c r="K8" s="22"/>
      <c r="L8" s="22"/>
      <c r="M8" s="22"/>
      <c r="N8" s="22"/>
      <c r="O8" s="22"/>
      <c r="P8" s="22"/>
      <c r="Q8" s="23"/>
      <c r="T8" s="56" t="s">
        <v>109</v>
      </c>
      <c r="U8" s="10"/>
      <c r="V8" s="10"/>
      <c r="W8" s="10"/>
      <c r="X8" s="10"/>
    </row>
    <row r="9" spans="1:25" x14ac:dyDescent="0.2">
      <c r="B9" s="7" t="s">
        <v>6</v>
      </c>
      <c r="C9" s="28">
        <f>'Financial Model'!U73</f>
        <v>4941.4319999999998</v>
      </c>
      <c r="D9" s="30" t="str">
        <f t="shared" ref="D9:D11" si="0">$C$28</f>
        <v>Q322</v>
      </c>
      <c r="G9" s="18"/>
      <c r="H9" s="22"/>
      <c r="I9" s="22"/>
      <c r="J9" s="22"/>
      <c r="K9" s="22"/>
      <c r="L9" s="22"/>
      <c r="M9" s="22"/>
      <c r="N9" s="22"/>
      <c r="O9" s="22"/>
      <c r="P9" s="22"/>
      <c r="Q9" s="23"/>
      <c r="T9" s="11" t="s">
        <v>106</v>
      </c>
      <c r="U9" s="10"/>
      <c r="V9" s="10"/>
      <c r="W9" s="10"/>
      <c r="X9" s="10"/>
    </row>
    <row r="10" spans="1:25" x14ac:dyDescent="0.2">
      <c r="B10" s="7" t="s">
        <v>7</v>
      </c>
      <c r="C10" s="28">
        <f>'Financial Model'!U74</f>
        <v>912.72400000000005</v>
      </c>
      <c r="D10" s="30" t="str">
        <f t="shared" si="0"/>
        <v>Q322</v>
      </c>
      <c r="G10" s="18"/>
      <c r="H10" s="22"/>
      <c r="I10" s="22"/>
      <c r="J10" s="22"/>
      <c r="K10" s="22"/>
      <c r="L10" s="22"/>
      <c r="M10" s="22"/>
      <c r="N10" s="22"/>
      <c r="O10" s="22"/>
      <c r="P10" s="22"/>
      <c r="Q10" s="23"/>
      <c r="T10" s="10"/>
      <c r="U10" s="10"/>
      <c r="V10" s="10"/>
      <c r="W10" s="10"/>
      <c r="X10" s="10"/>
    </row>
    <row r="11" spans="1:25" x14ac:dyDescent="0.2">
      <c r="B11" s="7" t="s">
        <v>8</v>
      </c>
      <c r="C11" s="28">
        <f>C9-C10</f>
        <v>4028.7079999999996</v>
      </c>
      <c r="D11" s="30" t="str">
        <f t="shared" si="0"/>
        <v>Q322</v>
      </c>
      <c r="G11" s="18"/>
      <c r="H11" s="22"/>
      <c r="I11" s="22"/>
      <c r="J11" s="22"/>
      <c r="K11" s="22"/>
      <c r="L11" s="22"/>
      <c r="M11" s="22"/>
      <c r="N11" s="22"/>
      <c r="O11" s="22"/>
      <c r="P11" s="22"/>
      <c r="Q11" s="23"/>
      <c r="T11" s="10"/>
      <c r="U11" s="10"/>
      <c r="V11" s="10"/>
      <c r="W11" s="10"/>
      <c r="X11" s="10"/>
    </row>
    <row r="12" spans="1:25" x14ac:dyDescent="0.2">
      <c r="B12" s="9" t="s">
        <v>9</v>
      </c>
      <c r="C12" s="29">
        <f>C8-C11</f>
        <v>63161.969212180004</v>
      </c>
      <c r="D12" s="31"/>
      <c r="G12" s="63">
        <v>44713</v>
      </c>
      <c r="H12" s="22" t="s">
        <v>144</v>
      </c>
      <c r="I12" s="22"/>
      <c r="J12" s="22"/>
      <c r="K12" s="22"/>
      <c r="L12" s="22"/>
      <c r="M12" s="22"/>
      <c r="N12" s="22"/>
      <c r="O12" s="22"/>
      <c r="P12" s="22"/>
      <c r="Q12" s="23"/>
      <c r="T12" s="11" t="s">
        <v>105</v>
      </c>
      <c r="U12" s="10"/>
      <c r="V12" s="10"/>
      <c r="W12" s="10"/>
      <c r="X12" s="10"/>
    </row>
    <row r="13" spans="1:25" x14ac:dyDescent="0.2">
      <c r="G13" s="18"/>
      <c r="H13" s="22"/>
      <c r="I13" s="22"/>
      <c r="J13" s="22"/>
      <c r="K13" s="22"/>
      <c r="L13" s="22"/>
      <c r="M13" s="22"/>
      <c r="N13" s="22"/>
      <c r="O13" s="22"/>
      <c r="P13" s="22"/>
      <c r="Q13" s="23"/>
      <c r="T13" s="55" t="s">
        <v>138</v>
      </c>
      <c r="U13" s="10"/>
      <c r="V13" s="10"/>
      <c r="W13" s="10"/>
      <c r="X13" s="10"/>
    </row>
    <row r="14" spans="1:25" x14ac:dyDescent="0.2">
      <c r="G14" s="18"/>
      <c r="H14" s="22"/>
      <c r="I14" s="22"/>
      <c r="J14" s="22"/>
      <c r="K14" s="22"/>
      <c r="L14" s="22"/>
      <c r="M14" s="22"/>
      <c r="N14" s="22"/>
      <c r="O14" s="22"/>
      <c r="P14" s="22"/>
      <c r="Q14" s="23"/>
      <c r="T14" s="10"/>
      <c r="U14" s="10"/>
      <c r="V14" s="10"/>
      <c r="W14" s="10"/>
      <c r="X14" s="10"/>
    </row>
    <row r="15" spans="1:25" x14ac:dyDescent="0.2">
      <c r="B15" s="4" t="s">
        <v>10</v>
      </c>
      <c r="C15" s="5"/>
      <c r="D15" s="6"/>
      <c r="G15" s="18"/>
      <c r="H15" s="22"/>
      <c r="I15" s="22"/>
      <c r="J15" s="22"/>
      <c r="K15" s="22"/>
      <c r="L15" s="22"/>
      <c r="M15" s="22"/>
      <c r="N15" s="22"/>
      <c r="O15" s="22"/>
      <c r="P15" s="22"/>
      <c r="Q15" s="23"/>
      <c r="T15" s="10"/>
      <c r="U15" s="10"/>
      <c r="V15" s="10"/>
      <c r="W15" s="10"/>
      <c r="X15" s="10"/>
    </row>
    <row r="16" spans="1:25" x14ac:dyDescent="0.2">
      <c r="A16" s="32" t="s">
        <v>65</v>
      </c>
      <c r="B16" s="12" t="s">
        <v>11</v>
      </c>
      <c r="C16" s="36" t="s">
        <v>66</v>
      </c>
      <c r="D16" s="37"/>
      <c r="G16" s="18"/>
      <c r="H16" s="22"/>
      <c r="I16" s="22"/>
      <c r="J16" s="22"/>
      <c r="K16" s="22"/>
      <c r="L16" s="22"/>
      <c r="M16" s="22"/>
      <c r="N16" s="22"/>
      <c r="O16" s="22"/>
      <c r="P16" s="22"/>
      <c r="Q16" s="23"/>
      <c r="T16" s="10"/>
      <c r="U16" s="10"/>
      <c r="V16" s="10"/>
      <c r="W16" s="10"/>
      <c r="X16" s="10"/>
    </row>
    <row r="17" spans="2:17" x14ac:dyDescent="0.2">
      <c r="B17" s="12" t="s">
        <v>12</v>
      </c>
      <c r="C17" s="36" t="s">
        <v>68</v>
      </c>
      <c r="D17" s="37"/>
      <c r="G17" s="18"/>
      <c r="H17" s="22"/>
      <c r="I17" s="22"/>
      <c r="J17" s="22"/>
      <c r="K17" s="22"/>
      <c r="L17" s="22"/>
      <c r="M17" s="22"/>
      <c r="N17" s="22"/>
      <c r="O17" s="22"/>
      <c r="P17" s="22"/>
      <c r="Q17" s="23"/>
    </row>
    <row r="18" spans="2:17" x14ac:dyDescent="0.2">
      <c r="B18" s="12" t="s">
        <v>13</v>
      </c>
      <c r="C18" s="36" t="s">
        <v>69</v>
      </c>
      <c r="D18" s="37"/>
      <c r="G18" s="18"/>
      <c r="H18" s="22"/>
      <c r="I18" s="22"/>
      <c r="J18" s="22"/>
      <c r="K18" s="22"/>
      <c r="L18" s="22"/>
      <c r="M18" s="22"/>
      <c r="N18" s="22"/>
      <c r="O18" s="22"/>
      <c r="P18" s="22"/>
      <c r="Q18" s="23"/>
    </row>
    <row r="19" spans="2:17" x14ac:dyDescent="0.2">
      <c r="B19" s="15" t="s">
        <v>14</v>
      </c>
      <c r="C19" s="26" t="s">
        <v>67</v>
      </c>
      <c r="D19" s="27"/>
      <c r="G19" s="18"/>
      <c r="H19" s="22"/>
      <c r="I19" s="22"/>
      <c r="J19" s="22"/>
      <c r="K19" s="22"/>
      <c r="L19" s="22"/>
      <c r="M19" s="22"/>
      <c r="N19" s="22"/>
      <c r="O19" s="22"/>
      <c r="P19" s="22"/>
      <c r="Q19" s="23"/>
    </row>
    <row r="20" spans="2:17" x14ac:dyDescent="0.2">
      <c r="G20" s="18"/>
      <c r="H20" s="22"/>
      <c r="I20" s="22"/>
      <c r="J20" s="22"/>
      <c r="K20" s="22"/>
      <c r="L20" s="22"/>
      <c r="M20" s="22"/>
      <c r="N20" s="22"/>
      <c r="O20" s="22"/>
      <c r="P20" s="22"/>
      <c r="Q20" s="23"/>
    </row>
    <row r="21" spans="2:17" x14ac:dyDescent="0.2">
      <c r="G21" s="18"/>
      <c r="H21" s="22"/>
      <c r="I21" s="22"/>
      <c r="J21" s="22"/>
      <c r="K21" s="22"/>
      <c r="L21" s="22"/>
      <c r="M21" s="22"/>
      <c r="N21" s="22"/>
      <c r="O21" s="22"/>
      <c r="P21" s="22"/>
      <c r="Q21" s="23"/>
    </row>
    <row r="22" spans="2:17" x14ac:dyDescent="0.2">
      <c r="B22" s="4" t="s">
        <v>15</v>
      </c>
      <c r="C22" s="5"/>
      <c r="D22" s="6"/>
      <c r="G22" s="18"/>
      <c r="H22" s="22"/>
      <c r="I22" s="22"/>
      <c r="J22" s="22"/>
      <c r="K22" s="22"/>
      <c r="L22" s="22"/>
      <c r="M22" s="22"/>
      <c r="N22" s="22"/>
      <c r="O22" s="22"/>
      <c r="P22" s="22"/>
      <c r="Q22" s="23"/>
    </row>
    <row r="23" spans="2:17" x14ac:dyDescent="0.2">
      <c r="B23" s="18" t="s">
        <v>16</v>
      </c>
      <c r="C23" s="36" t="s">
        <v>70</v>
      </c>
      <c r="D23" s="37"/>
      <c r="G23" s="18"/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spans="2:17" x14ac:dyDescent="0.2">
      <c r="B24" s="18" t="s">
        <v>17</v>
      </c>
      <c r="C24" s="36">
        <v>2004</v>
      </c>
      <c r="D24" s="37"/>
      <c r="G24" s="18"/>
      <c r="H24" s="22"/>
      <c r="I24" s="22"/>
      <c r="J24" s="22"/>
      <c r="K24" s="22"/>
      <c r="L24" s="22"/>
      <c r="M24" s="22"/>
      <c r="N24" s="22"/>
      <c r="O24" s="22"/>
      <c r="P24" s="22"/>
      <c r="Q24" s="23"/>
    </row>
    <row r="25" spans="2:17" x14ac:dyDescent="0.2">
      <c r="B25" s="18" t="s">
        <v>18</v>
      </c>
      <c r="C25" s="36">
        <v>2015</v>
      </c>
      <c r="D25" s="37"/>
      <c r="G25" s="18"/>
      <c r="H25" s="22"/>
      <c r="I25" s="22"/>
      <c r="J25" s="22"/>
      <c r="K25" s="22"/>
      <c r="L25" s="22"/>
      <c r="M25" s="22"/>
      <c r="N25" s="22"/>
      <c r="O25" s="22"/>
      <c r="P25" s="22"/>
      <c r="Q25" s="23"/>
    </row>
    <row r="26" spans="2:17" x14ac:dyDescent="0.2">
      <c r="B26" s="18"/>
      <c r="C26" s="13"/>
      <c r="D26" s="14"/>
      <c r="G26" s="18"/>
      <c r="H26" s="22"/>
      <c r="I26" s="22"/>
      <c r="J26" s="22"/>
      <c r="K26" s="22"/>
      <c r="L26" s="22"/>
      <c r="M26" s="22"/>
      <c r="N26" s="22"/>
      <c r="O26" s="22"/>
      <c r="P26" s="22"/>
      <c r="Q26" s="23"/>
    </row>
    <row r="27" spans="2:17" x14ac:dyDescent="0.2">
      <c r="B27" s="18"/>
      <c r="C27" s="13"/>
      <c r="D27" s="14"/>
      <c r="G27" s="18"/>
      <c r="H27" s="22"/>
      <c r="I27" s="22"/>
      <c r="J27" s="22"/>
      <c r="K27" s="22"/>
      <c r="L27" s="22"/>
      <c r="M27" s="22"/>
      <c r="N27" s="22"/>
      <c r="O27" s="22"/>
      <c r="P27" s="22"/>
      <c r="Q27" s="23"/>
    </row>
    <row r="28" spans="2:17" x14ac:dyDescent="0.2">
      <c r="B28" s="18" t="s">
        <v>19</v>
      </c>
      <c r="C28" s="24" t="s">
        <v>47</v>
      </c>
      <c r="D28" s="59">
        <f>'Financial Model'!U3</f>
        <v>46661</v>
      </c>
      <c r="G28" s="18"/>
      <c r="H28" s="22"/>
      <c r="I28" s="22"/>
      <c r="J28" s="22"/>
      <c r="K28" s="22"/>
      <c r="L28" s="22"/>
      <c r="M28" s="22"/>
      <c r="N28" s="22"/>
      <c r="O28" s="22"/>
      <c r="P28" s="22"/>
      <c r="Q28" s="23"/>
    </row>
    <row r="29" spans="2:17" x14ac:dyDescent="0.2">
      <c r="B29" s="19" t="s">
        <v>20</v>
      </c>
      <c r="C29" s="38" t="s">
        <v>28</v>
      </c>
      <c r="D29" s="39"/>
      <c r="G29" s="19"/>
      <c r="H29" s="20"/>
      <c r="I29" s="20"/>
      <c r="J29" s="20"/>
      <c r="K29" s="20"/>
      <c r="L29" s="20"/>
      <c r="M29" s="20"/>
      <c r="N29" s="20"/>
      <c r="O29" s="20"/>
      <c r="P29" s="20"/>
      <c r="Q29" s="21"/>
    </row>
    <row r="32" spans="2:17" x14ac:dyDescent="0.2">
      <c r="B32" s="4" t="s">
        <v>21</v>
      </c>
      <c r="C32" s="5"/>
      <c r="D32" s="6"/>
    </row>
    <row r="33" spans="2:4" x14ac:dyDescent="0.2">
      <c r="B33" s="18" t="s">
        <v>22</v>
      </c>
      <c r="C33" s="60">
        <f>C6/'Financial Model'!U71</f>
        <v>7.729278198315245</v>
      </c>
      <c r="D33" s="61"/>
    </row>
    <row r="34" spans="2:4" x14ac:dyDescent="0.2">
      <c r="B34" s="18" t="s">
        <v>23</v>
      </c>
      <c r="C34" s="13"/>
      <c r="D34" s="14"/>
    </row>
    <row r="35" spans="2:4" x14ac:dyDescent="0.2">
      <c r="B35" s="18" t="s">
        <v>24</v>
      </c>
      <c r="C35" s="13"/>
      <c r="D35" s="14"/>
    </row>
    <row r="36" spans="2:4" x14ac:dyDescent="0.2">
      <c r="B36" s="18" t="s">
        <v>25</v>
      </c>
      <c r="C36" s="13"/>
      <c r="D36" s="14"/>
    </row>
    <row r="37" spans="2:4" x14ac:dyDescent="0.2">
      <c r="B37" s="18" t="s">
        <v>26</v>
      </c>
      <c r="C37" s="13"/>
      <c r="D37" s="14"/>
    </row>
    <row r="38" spans="2:4" x14ac:dyDescent="0.2">
      <c r="B38" s="19" t="s">
        <v>27</v>
      </c>
      <c r="C38" s="16"/>
      <c r="D38" s="17"/>
    </row>
  </sheetData>
  <mergeCells count="22"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AO102"/>
  <sheetViews>
    <sheetView tabSelected="1" workbookViewId="0">
      <pane xSplit="2" ySplit="3" topLeftCell="C56" activePane="bottomRight" state="frozen"/>
      <selection pane="topRight" activeCell="C1" sqref="C1"/>
      <selection pane="bottomLeft" activeCell="A4" sqref="A4"/>
      <selection pane="bottomRight" activeCell="P97" sqref="P97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41" s="33" customFormat="1" x14ac:dyDescent="0.2"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3" t="s">
        <v>38</v>
      </c>
      <c r="M1" s="33" t="s">
        <v>39</v>
      </c>
      <c r="N1" s="33" t="s">
        <v>40</v>
      </c>
      <c r="O1" s="33" t="s">
        <v>41</v>
      </c>
      <c r="P1" s="33" t="s">
        <v>42</v>
      </c>
      <c r="Q1" s="33" t="s">
        <v>43</v>
      </c>
      <c r="R1" s="33" t="s">
        <v>44</v>
      </c>
      <c r="S1" s="40" t="s">
        <v>45</v>
      </c>
      <c r="T1" s="40" t="s">
        <v>46</v>
      </c>
      <c r="U1" s="40" t="s">
        <v>47</v>
      </c>
      <c r="V1" s="33" t="s">
        <v>48</v>
      </c>
      <c r="Y1" s="33" t="s">
        <v>49</v>
      </c>
      <c r="Z1" s="33" t="s">
        <v>50</v>
      </c>
      <c r="AA1" s="33" t="s">
        <v>51</v>
      </c>
      <c r="AB1" s="33" t="s">
        <v>52</v>
      </c>
      <c r="AC1" s="33" t="s">
        <v>51</v>
      </c>
      <c r="AD1" s="33" t="s">
        <v>52</v>
      </c>
      <c r="AE1" s="33" t="s">
        <v>53</v>
      </c>
      <c r="AF1" s="33" t="s">
        <v>54</v>
      </c>
      <c r="AG1" s="33" t="s">
        <v>55</v>
      </c>
      <c r="AH1" s="33" t="s">
        <v>56</v>
      </c>
      <c r="AI1" s="33" t="s">
        <v>57</v>
      </c>
      <c r="AJ1" s="33" t="s">
        <v>58</v>
      </c>
      <c r="AK1" s="33" t="s">
        <v>59</v>
      </c>
      <c r="AL1" s="33" t="s">
        <v>60</v>
      </c>
      <c r="AM1" s="33" t="s">
        <v>61</v>
      </c>
      <c r="AN1" s="33" t="s">
        <v>62</v>
      </c>
      <c r="AO1" s="33" t="s">
        <v>63</v>
      </c>
    </row>
    <row r="2" spans="2:41" s="35" customFormat="1" x14ac:dyDescent="0.2">
      <c r="B2" s="34"/>
      <c r="O2" s="42">
        <v>44286</v>
      </c>
      <c r="P2" s="42">
        <v>44377</v>
      </c>
      <c r="Q2" s="42">
        <v>44469</v>
      </c>
      <c r="R2" s="42">
        <v>44561</v>
      </c>
      <c r="S2" s="42">
        <v>44651</v>
      </c>
      <c r="T2" s="42">
        <v>44742</v>
      </c>
      <c r="U2" s="42">
        <v>44834</v>
      </c>
    </row>
    <row r="3" spans="2:41" s="35" customFormat="1" x14ac:dyDescent="0.2">
      <c r="B3" s="34"/>
      <c r="S3" s="41">
        <v>38473</v>
      </c>
      <c r="T3" s="41">
        <v>46569</v>
      </c>
      <c r="U3" s="41">
        <v>46661</v>
      </c>
    </row>
    <row r="4" spans="2:41" s="47" customFormat="1" x14ac:dyDescent="0.2">
      <c r="B4" s="46" t="s">
        <v>71</v>
      </c>
      <c r="O4" s="47">
        <v>320.68099999999998</v>
      </c>
      <c r="P4" s="47">
        <v>334.23700000000002</v>
      </c>
      <c r="Q4" s="47">
        <v>336.20800000000003</v>
      </c>
      <c r="S4" s="47">
        <v>344.76100000000002</v>
      </c>
      <c r="T4" s="47">
        <v>366.44299999999998</v>
      </c>
      <c r="U4" s="47">
        <v>376.30099999999999</v>
      </c>
    </row>
    <row r="5" spans="2:41" s="47" customFormat="1" x14ac:dyDescent="0.2">
      <c r="B5" s="46" t="s">
        <v>72</v>
      </c>
      <c r="O5" s="47">
        <v>667.96600000000001</v>
      </c>
      <c r="P5" s="47">
        <v>785.20799999999997</v>
      </c>
      <c r="Q5" s="47">
        <v>787.53200000000004</v>
      </c>
      <c r="S5" s="47">
        <v>858.86199999999997</v>
      </c>
      <c r="T5" s="47">
        <v>928.62</v>
      </c>
      <c r="U5" s="47">
        <v>989.899</v>
      </c>
    </row>
    <row r="6" spans="2:41" s="48" customFormat="1" x14ac:dyDescent="0.2">
      <c r="B6" s="48" t="s">
        <v>73</v>
      </c>
      <c r="C6" s="48">
        <f t="shared" ref="C6:T6" si="0">C4+C5</f>
        <v>0</v>
      </c>
      <c r="D6" s="48">
        <f t="shared" si="0"/>
        <v>0</v>
      </c>
      <c r="E6" s="48">
        <f t="shared" si="0"/>
        <v>0</v>
      </c>
      <c r="F6" s="48">
        <f t="shared" si="0"/>
        <v>0</v>
      </c>
      <c r="G6" s="48">
        <f t="shared" si="0"/>
        <v>0</v>
      </c>
      <c r="H6" s="48">
        <f t="shared" si="0"/>
        <v>0</v>
      </c>
      <c r="I6" s="48">
        <f t="shared" si="0"/>
        <v>0</v>
      </c>
      <c r="J6" s="48">
        <f t="shared" si="0"/>
        <v>0</v>
      </c>
      <c r="K6" s="48">
        <f t="shared" si="0"/>
        <v>0</v>
      </c>
      <c r="L6" s="48">
        <f t="shared" si="0"/>
        <v>0</v>
      </c>
      <c r="M6" s="48">
        <f t="shared" si="0"/>
        <v>0</v>
      </c>
      <c r="N6" s="48">
        <f t="shared" si="0"/>
        <v>0</v>
      </c>
      <c r="O6" s="48">
        <f t="shared" si="0"/>
        <v>988.64699999999993</v>
      </c>
      <c r="P6" s="48">
        <f t="shared" si="0"/>
        <v>1119.4449999999999</v>
      </c>
      <c r="Q6" s="48">
        <f t="shared" si="0"/>
        <v>1123.74</v>
      </c>
      <c r="R6" s="48">
        <f t="shared" si="0"/>
        <v>0</v>
      </c>
      <c r="S6" s="48">
        <f t="shared" si="0"/>
        <v>1203.623</v>
      </c>
      <c r="T6" s="48">
        <f t="shared" si="0"/>
        <v>1295.0630000000001</v>
      </c>
      <c r="U6" s="48">
        <f>U4+U5</f>
        <v>1366.2</v>
      </c>
    </row>
    <row r="7" spans="2:41" s="47" customFormat="1" x14ac:dyDescent="0.2">
      <c r="B7" s="46" t="s">
        <v>74</v>
      </c>
      <c r="O7" s="47">
        <v>58.381999999999998</v>
      </c>
      <c r="P7" s="47">
        <v>63.027000000000001</v>
      </c>
      <c r="Q7" s="47">
        <v>67.355000000000004</v>
      </c>
      <c r="S7" s="47">
        <v>77.545000000000002</v>
      </c>
      <c r="T7" s="47">
        <v>85.238</v>
      </c>
      <c r="U7" s="47">
        <v>82.313000000000002</v>
      </c>
    </row>
    <row r="8" spans="2:41" s="47" customFormat="1" x14ac:dyDescent="0.2">
      <c r="B8" s="46" t="s">
        <v>75</v>
      </c>
      <c r="O8" s="47">
        <v>371.54899999999998</v>
      </c>
      <c r="P8" s="47">
        <v>435.55799999999999</v>
      </c>
      <c r="Q8" s="47">
        <v>447.476</v>
      </c>
      <c r="S8" s="47">
        <v>488.44099999999997</v>
      </c>
      <c r="T8" s="47">
        <v>554.18299999999999</v>
      </c>
      <c r="U8" s="47">
        <v>621.55499999999995</v>
      </c>
    </row>
    <row r="9" spans="2:41" s="49" customFormat="1" x14ac:dyDescent="0.2">
      <c r="B9" s="49" t="s">
        <v>76</v>
      </c>
      <c r="C9" s="49">
        <f t="shared" ref="C9:T9" si="1">C7+C8</f>
        <v>0</v>
      </c>
      <c r="D9" s="49">
        <f t="shared" si="1"/>
        <v>0</v>
      </c>
      <c r="E9" s="49">
        <f t="shared" si="1"/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  <c r="L9" s="49">
        <f t="shared" si="1"/>
        <v>0</v>
      </c>
      <c r="M9" s="49">
        <f t="shared" si="1"/>
        <v>0</v>
      </c>
      <c r="N9" s="49">
        <f t="shared" si="1"/>
        <v>0</v>
      </c>
      <c r="O9" s="49">
        <f t="shared" si="1"/>
        <v>429.93099999999998</v>
      </c>
      <c r="P9" s="49">
        <f t="shared" si="1"/>
        <v>498.58499999999998</v>
      </c>
      <c r="Q9" s="49">
        <f t="shared" si="1"/>
        <v>514.83100000000002</v>
      </c>
      <c r="R9" s="49">
        <f t="shared" si="1"/>
        <v>0</v>
      </c>
      <c r="S9" s="49">
        <f t="shared" si="1"/>
        <v>565.98599999999999</v>
      </c>
      <c r="T9" s="49">
        <f t="shared" si="1"/>
        <v>639.42100000000005</v>
      </c>
      <c r="U9" s="49">
        <f>U7+U8</f>
        <v>703.86799999999994</v>
      </c>
      <c r="X9" s="47"/>
      <c r="Y9" s="47"/>
    </row>
    <row r="10" spans="2:41" s="48" customFormat="1" x14ac:dyDescent="0.2">
      <c r="B10" s="48" t="s">
        <v>77</v>
      </c>
      <c r="C10" s="48">
        <f t="shared" ref="C10:T10" si="2">C6-C9</f>
        <v>0</v>
      </c>
      <c r="D10" s="48">
        <f t="shared" si="2"/>
        <v>0</v>
      </c>
      <c r="E10" s="48">
        <f t="shared" si="2"/>
        <v>0</v>
      </c>
      <c r="F10" s="48">
        <f t="shared" si="2"/>
        <v>0</v>
      </c>
      <c r="G10" s="48">
        <f t="shared" si="2"/>
        <v>0</v>
      </c>
      <c r="H10" s="48">
        <f t="shared" si="2"/>
        <v>0</v>
      </c>
      <c r="I10" s="48">
        <f t="shared" si="2"/>
        <v>0</v>
      </c>
      <c r="J10" s="48">
        <f t="shared" si="2"/>
        <v>0</v>
      </c>
      <c r="K10" s="48">
        <f t="shared" si="2"/>
        <v>0</v>
      </c>
      <c r="L10" s="48">
        <f t="shared" si="2"/>
        <v>0</v>
      </c>
      <c r="M10" s="48">
        <f t="shared" si="2"/>
        <v>0</v>
      </c>
      <c r="N10" s="48">
        <f t="shared" si="2"/>
        <v>0</v>
      </c>
      <c r="O10" s="48">
        <f t="shared" si="2"/>
        <v>558.71599999999989</v>
      </c>
      <c r="P10" s="48">
        <f t="shared" si="2"/>
        <v>620.8599999999999</v>
      </c>
      <c r="Q10" s="48">
        <f t="shared" si="2"/>
        <v>608.90899999999999</v>
      </c>
      <c r="R10" s="48">
        <f t="shared" si="2"/>
        <v>0</v>
      </c>
      <c r="S10" s="48">
        <f t="shared" si="2"/>
        <v>637.63700000000006</v>
      </c>
      <c r="T10" s="48">
        <f t="shared" si="2"/>
        <v>655.64200000000005</v>
      </c>
      <c r="U10" s="48">
        <f>U6-U9</f>
        <v>662.33200000000011</v>
      </c>
    </row>
    <row r="11" spans="2:41" s="49" customFormat="1" x14ac:dyDescent="0.2">
      <c r="B11" s="49" t="s">
        <v>78</v>
      </c>
      <c r="O11" s="49">
        <v>186.22300000000001</v>
      </c>
      <c r="P11" s="49">
        <v>201.91</v>
      </c>
      <c r="Q11" s="49">
        <v>237.94900000000001</v>
      </c>
      <c r="S11" s="49">
        <v>303.37099999999998</v>
      </c>
      <c r="T11" s="49">
        <v>326.90199999999999</v>
      </c>
      <c r="U11" s="49">
        <v>302.476</v>
      </c>
    </row>
    <row r="12" spans="2:41" s="49" customFormat="1" x14ac:dyDescent="0.2">
      <c r="B12" s="49" t="s">
        <v>79</v>
      </c>
      <c r="O12" s="49">
        <v>175.886</v>
      </c>
      <c r="P12" s="49">
        <v>183.55699999999999</v>
      </c>
      <c r="Q12" s="49">
        <v>221.02799999999999</v>
      </c>
      <c r="S12" s="49">
        <v>303.661</v>
      </c>
      <c r="T12" s="49">
        <v>346.66699999999997</v>
      </c>
      <c r="U12" s="49">
        <v>412.35899999999998</v>
      </c>
    </row>
    <row r="13" spans="2:41" s="49" customFormat="1" x14ac:dyDescent="0.2">
      <c r="B13" s="49" t="s">
        <v>80</v>
      </c>
      <c r="O13" s="49">
        <v>67.102000000000004</v>
      </c>
      <c r="P13" s="49">
        <v>77.965999999999994</v>
      </c>
      <c r="Q13" s="49">
        <v>128.72200000000001</v>
      </c>
      <c r="S13" s="49">
        <v>108.08799999999999</v>
      </c>
      <c r="T13" s="49">
        <v>129.90100000000001</v>
      </c>
      <c r="U13" s="49">
        <v>255.125</v>
      </c>
    </row>
    <row r="14" spans="2:41" s="49" customFormat="1" x14ac:dyDescent="0.2">
      <c r="B14" s="49" t="s">
        <v>81</v>
      </c>
      <c r="O14" s="49">
        <v>10.606</v>
      </c>
      <c r="P14" s="49">
        <v>17.986000000000001</v>
      </c>
      <c r="Q14" s="49">
        <v>25.311</v>
      </c>
      <c r="S14" s="49">
        <v>20.492999999999999</v>
      </c>
      <c r="T14" s="49">
        <v>42.38</v>
      </c>
      <c r="U14" s="49">
        <v>37.738</v>
      </c>
    </row>
    <row r="15" spans="2:41" s="49" customFormat="1" x14ac:dyDescent="0.2">
      <c r="B15" s="49" t="s">
        <v>82</v>
      </c>
      <c r="C15" s="49">
        <f t="shared" ref="C15:T15" si="3">SUM(C11:C14)</f>
        <v>0</v>
      </c>
      <c r="D15" s="49">
        <f t="shared" si="3"/>
        <v>0</v>
      </c>
      <c r="E15" s="49">
        <f t="shared" si="3"/>
        <v>0</v>
      </c>
      <c r="F15" s="49">
        <f t="shared" si="3"/>
        <v>0</v>
      </c>
      <c r="G15" s="49">
        <f t="shared" si="3"/>
        <v>0</v>
      </c>
      <c r="H15" s="49">
        <f t="shared" si="3"/>
        <v>0</v>
      </c>
      <c r="I15" s="49">
        <f t="shared" si="3"/>
        <v>0</v>
      </c>
      <c r="J15" s="49">
        <f t="shared" si="3"/>
        <v>0</v>
      </c>
      <c r="K15" s="49">
        <f t="shared" si="3"/>
        <v>0</v>
      </c>
      <c r="L15" s="49">
        <f t="shared" si="3"/>
        <v>0</v>
      </c>
      <c r="M15" s="49">
        <f t="shared" si="3"/>
        <v>0</v>
      </c>
      <c r="N15" s="49">
        <f t="shared" si="3"/>
        <v>0</v>
      </c>
      <c r="O15" s="49">
        <f t="shared" si="3"/>
        <v>439.81700000000001</v>
      </c>
      <c r="P15" s="49">
        <f t="shared" si="3"/>
        <v>481.41899999999998</v>
      </c>
      <c r="Q15" s="49">
        <f t="shared" si="3"/>
        <v>613.01</v>
      </c>
      <c r="R15" s="49">
        <f t="shared" si="3"/>
        <v>0</v>
      </c>
      <c r="S15" s="49">
        <f t="shared" si="3"/>
        <v>735.61299999999994</v>
      </c>
      <c r="T15" s="49">
        <f t="shared" si="3"/>
        <v>845.85</v>
      </c>
      <c r="U15" s="49">
        <f>SUM(U11:U14)</f>
        <v>1007.6980000000001</v>
      </c>
    </row>
    <row r="16" spans="2:41" s="48" customFormat="1" x14ac:dyDescent="0.2">
      <c r="B16" s="48" t="s">
        <v>83</v>
      </c>
      <c r="C16" s="48">
        <f t="shared" ref="C16:T16" si="4">C10-C15</f>
        <v>0</v>
      </c>
      <c r="D16" s="48">
        <f t="shared" si="4"/>
        <v>0</v>
      </c>
      <c r="E16" s="48">
        <f t="shared" si="4"/>
        <v>0</v>
      </c>
      <c r="F16" s="48">
        <f t="shared" si="4"/>
        <v>0</v>
      </c>
      <c r="G16" s="48">
        <f t="shared" si="4"/>
        <v>0</v>
      </c>
      <c r="H16" s="48">
        <f t="shared" si="4"/>
        <v>0</v>
      </c>
      <c r="I16" s="48">
        <f t="shared" si="4"/>
        <v>0</v>
      </c>
      <c r="J16" s="48">
        <f t="shared" si="4"/>
        <v>0</v>
      </c>
      <c r="K16" s="48">
        <f t="shared" si="4"/>
        <v>0</v>
      </c>
      <c r="L16" s="48">
        <f t="shared" si="4"/>
        <v>0</v>
      </c>
      <c r="M16" s="48">
        <f t="shared" si="4"/>
        <v>0</v>
      </c>
      <c r="N16" s="48">
        <f t="shared" si="4"/>
        <v>0</v>
      </c>
      <c r="O16" s="48">
        <f t="shared" si="4"/>
        <v>118.89899999999989</v>
      </c>
      <c r="P16" s="48">
        <f t="shared" si="4"/>
        <v>139.44099999999992</v>
      </c>
      <c r="Q16" s="48">
        <f t="shared" si="4"/>
        <v>-4.1009999999999991</v>
      </c>
      <c r="R16" s="48">
        <f t="shared" si="4"/>
        <v>0</v>
      </c>
      <c r="S16" s="48">
        <f t="shared" si="4"/>
        <v>-97.975999999999885</v>
      </c>
      <c r="T16" s="48">
        <f t="shared" si="4"/>
        <v>-190.20799999999997</v>
      </c>
      <c r="U16" s="48">
        <f>U10-U15</f>
        <v>-345.36599999999999</v>
      </c>
    </row>
    <row r="17" spans="2:21" s="49" customFormat="1" x14ac:dyDescent="0.2">
      <c r="B17" s="49" t="s">
        <v>84</v>
      </c>
      <c r="O17" s="49">
        <v>1250.645</v>
      </c>
      <c r="P17" s="49">
        <v>779.87400000000002</v>
      </c>
      <c r="Q17" s="49">
        <v>1344.5530000000001</v>
      </c>
      <c r="S17" s="49">
        <v>-1554.8810000000001</v>
      </c>
      <c r="T17" s="49">
        <v>-1008.042</v>
      </c>
      <c r="U17" s="49">
        <v>188.233</v>
      </c>
    </row>
    <row r="18" spans="2:21" s="49" customFormat="1" x14ac:dyDescent="0.2">
      <c r="B18" s="49" t="s">
        <v>85</v>
      </c>
      <c r="C18" s="49">
        <f t="shared" ref="C18:T18" si="5">C16+C17</f>
        <v>0</v>
      </c>
      <c r="D18" s="49">
        <f t="shared" si="5"/>
        <v>0</v>
      </c>
      <c r="E18" s="49">
        <f t="shared" si="5"/>
        <v>0</v>
      </c>
      <c r="F18" s="49">
        <f t="shared" si="5"/>
        <v>0</v>
      </c>
      <c r="G18" s="49">
        <f t="shared" si="5"/>
        <v>0</v>
      </c>
      <c r="H18" s="49">
        <f t="shared" si="5"/>
        <v>0</v>
      </c>
      <c r="I18" s="49">
        <f t="shared" si="5"/>
        <v>0</v>
      </c>
      <c r="J18" s="49">
        <f t="shared" si="5"/>
        <v>0</v>
      </c>
      <c r="K18" s="49">
        <f t="shared" si="5"/>
        <v>0</v>
      </c>
      <c r="L18" s="49">
        <f t="shared" si="5"/>
        <v>0</v>
      </c>
      <c r="M18" s="49">
        <f t="shared" si="5"/>
        <v>0</v>
      </c>
      <c r="N18" s="49">
        <f t="shared" si="5"/>
        <v>0</v>
      </c>
      <c r="O18" s="49">
        <f t="shared" si="5"/>
        <v>1369.5439999999999</v>
      </c>
      <c r="P18" s="49">
        <f t="shared" si="5"/>
        <v>919.31499999999994</v>
      </c>
      <c r="Q18" s="49">
        <f t="shared" si="5"/>
        <v>1340.4520000000002</v>
      </c>
      <c r="R18" s="49">
        <f t="shared" si="5"/>
        <v>0</v>
      </c>
      <c r="S18" s="49">
        <f t="shared" si="5"/>
        <v>-1652.857</v>
      </c>
      <c r="T18" s="49">
        <f t="shared" si="5"/>
        <v>-1198.25</v>
      </c>
      <c r="U18" s="49">
        <f>U16+U17</f>
        <v>-157.13299999999998</v>
      </c>
    </row>
    <row r="19" spans="2:21" s="49" customFormat="1" x14ac:dyDescent="0.2">
      <c r="B19" s="49" t="s">
        <v>86</v>
      </c>
      <c r="O19" s="49">
        <v>111.099</v>
      </c>
      <c r="P19" s="49">
        <v>-40.222000000000001</v>
      </c>
      <c r="Q19" s="49">
        <v>192.02</v>
      </c>
      <c r="S19" s="49">
        <v>-178.44900000000001</v>
      </c>
      <c r="T19" s="49">
        <v>5.657</v>
      </c>
      <c r="U19" s="49">
        <v>1.276</v>
      </c>
    </row>
    <row r="20" spans="2:21" s="48" customFormat="1" x14ac:dyDescent="0.2">
      <c r="B20" s="48" t="s">
        <v>87</v>
      </c>
      <c r="C20" s="48">
        <f t="shared" ref="C20:T20" si="6">C18-C19</f>
        <v>0</v>
      </c>
      <c r="D20" s="48">
        <f t="shared" si="6"/>
        <v>0</v>
      </c>
      <c r="E20" s="48">
        <f t="shared" si="6"/>
        <v>0</v>
      </c>
      <c r="F20" s="48">
        <f t="shared" si="6"/>
        <v>0</v>
      </c>
      <c r="G20" s="48">
        <f t="shared" si="6"/>
        <v>0</v>
      </c>
      <c r="H20" s="48">
        <f t="shared" si="6"/>
        <v>0</v>
      </c>
      <c r="I20" s="48">
        <f t="shared" si="6"/>
        <v>0</v>
      </c>
      <c r="J20" s="48">
        <f t="shared" si="6"/>
        <v>0</v>
      </c>
      <c r="K20" s="48">
        <f t="shared" si="6"/>
        <v>0</v>
      </c>
      <c r="L20" s="48">
        <f t="shared" si="6"/>
        <v>0</v>
      </c>
      <c r="M20" s="48">
        <f t="shared" si="6"/>
        <v>0</v>
      </c>
      <c r="N20" s="48">
        <f t="shared" si="6"/>
        <v>0</v>
      </c>
      <c r="O20" s="48">
        <f t="shared" si="6"/>
        <v>1258.4449999999999</v>
      </c>
      <c r="P20" s="48">
        <f t="shared" si="6"/>
        <v>959.53699999999992</v>
      </c>
      <c r="Q20" s="48">
        <f t="shared" si="6"/>
        <v>1148.4320000000002</v>
      </c>
      <c r="R20" s="48">
        <f t="shared" si="6"/>
        <v>0</v>
      </c>
      <c r="S20" s="48">
        <f t="shared" si="6"/>
        <v>-1474.4079999999999</v>
      </c>
      <c r="T20" s="48">
        <f t="shared" si="6"/>
        <v>-1203.9069999999999</v>
      </c>
      <c r="U20" s="48">
        <f>U18-U19</f>
        <v>-158.40899999999999</v>
      </c>
    </row>
    <row r="21" spans="2:21" x14ac:dyDescent="0.2">
      <c r="B21" s="1" t="s">
        <v>88</v>
      </c>
      <c r="O21" s="52">
        <f t="shared" ref="O21:P21" si="7">O20/O22</f>
        <v>10.211033185076877</v>
      </c>
      <c r="P21" s="52">
        <f t="shared" si="7"/>
        <v>0.77041832326648041</v>
      </c>
      <c r="Q21" s="52">
        <f>Q20/Q22</f>
        <v>0.91822067160645615</v>
      </c>
      <c r="S21" s="45">
        <f>S20/S22</f>
        <v>-11.700437476856566</v>
      </c>
      <c r="T21" s="45">
        <f>T20/T22</f>
        <v>-0.95395869419321089</v>
      </c>
      <c r="U21" s="45">
        <f>U20/U22</f>
        <v>-0.12478797234804595</v>
      </c>
    </row>
    <row r="22" spans="2:21" x14ac:dyDescent="0.2">
      <c r="B22" s="1" t="s">
        <v>4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>
        <v>123.24365</v>
      </c>
      <c r="P22" s="49">
        <v>1245.47531</v>
      </c>
      <c r="Q22" s="49">
        <v>1250.7146</v>
      </c>
      <c r="R22" s="49"/>
      <c r="S22" s="49">
        <v>126.01306599999999</v>
      </c>
      <c r="T22" s="49">
        <v>1262.011665</v>
      </c>
      <c r="U22" s="49">
        <v>1269.4252260000001</v>
      </c>
    </row>
    <row r="24" spans="2:21" s="2" customFormat="1" x14ac:dyDescent="0.2">
      <c r="B24" s="2" t="s">
        <v>89</v>
      </c>
      <c r="S24" s="50">
        <f t="shared" ref="S24" si="8">S6/O6-1</f>
        <v>0.2174446491012465</v>
      </c>
      <c r="T24" s="50">
        <f t="shared" ref="T24" si="9">T6/P6-1</f>
        <v>0.15687952512182401</v>
      </c>
      <c r="U24" s="50">
        <f>U6/Q6-1</f>
        <v>0.2157616530514177</v>
      </c>
    </row>
    <row r="25" spans="2:21" x14ac:dyDescent="0.2">
      <c r="B25" s="43" t="s">
        <v>90</v>
      </c>
      <c r="S25" s="51">
        <f t="shared" ref="S25:S26" si="10">S4/O4-1</f>
        <v>7.5090198670953567E-2</v>
      </c>
      <c r="T25" s="51">
        <f t="shared" ref="T25:T26" si="11">T4/P4-1</f>
        <v>9.6356776778154352E-2</v>
      </c>
      <c r="U25" s="51">
        <f>U4/Q4-1</f>
        <v>0.11925058297244551</v>
      </c>
    </row>
    <row r="26" spans="2:21" x14ac:dyDescent="0.2">
      <c r="B26" s="43" t="s">
        <v>91</v>
      </c>
      <c r="S26" s="51">
        <f t="shared" si="10"/>
        <v>0.28578700113478828</v>
      </c>
      <c r="T26" s="51">
        <f t="shared" si="11"/>
        <v>0.18264205153284241</v>
      </c>
      <c r="U26" s="51">
        <f>U5/Q5-1</f>
        <v>0.25696352656146026</v>
      </c>
    </row>
    <row r="27" spans="2:21" x14ac:dyDescent="0.2">
      <c r="B27" s="1" t="s">
        <v>92</v>
      </c>
      <c r="P27" s="51">
        <f t="shared" ref="P27:Q27" si="12">P6/O6-1</f>
        <v>0.13230000192181834</v>
      </c>
      <c r="Q27" s="51">
        <f t="shared" si="12"/>
        <v>3.8367226616762284E-3</v>
      </c>
      <c r="T27" s="51">
        <f>T6/S6-1</f>
        <v>7.5970632000219362E-2</v>
      </c>
      <c r="U27" s="51">
        <f>U6/T6-1</f>
        <v>5.4929374092225647E-2</v>
      </c>
    </row>
    <row r="29" spans="2:21" s="50" customFormat="1" x14ac:dyDescent="0.2">
      <c r="B29" s="50" t="s">
        <v>93</v>
      </c>
      <c r="O29" s="50">
        <f t="shared" ref="O29:P29" si="13">O10/O6</f>
        <v>0.56513194294829194</v>
      </c>
      <c r="P29" s="50">
        <f t="shared" ref="P29:Q29" si="14">P10/P6</f>
        <v>0.55461411681681538</v>
      </c>
      <c r="Q29" s="50">
        <f>Q10/Q6</f>
        <v>0.54185932689056182</v>
      </c>
      <c r="S29" s="50">
        <f t="shared" ref="S29:T29" si="15">S10/S6</f>
        <v>0.52976471868683139</v>
      </c>
      <c r="T29" s="50">
        <f t="shared" ref="T29:U29" si="16">T10/T6</f>
        <v>0.50626262969446278</v>
      </c>
      <c r="U29" s="50">
        <f>U10/U6</f>
        <v>0.48479871175523354</v>
      </c>
    </row>
    <row r="30" spans="2:21" s="58" customFormat="1" x14ac:dyDescent="0.2">
      <c r="B30" s="57" t="s">
        <v>110</v>
      </c>
      <c r="O30" s="58">
        <f t="shared" ref="O30:P30" si="17">(O4-O7)/O4</f>
        <v>0.81794368858772426</v>
      </c>
      <c r="P30" s="58">
        <f t="shared" ref="P30:Q30" si="18">(P4-P7)/P4</f>
        <v>0.81143021269338833</v>
      </c>
      <c r="Q30" s="58">
        <f>(Q4-Q7)/Q4</f>
        <v>0.79966270879931467</v>
      </c>
      <c r="S30" s="58">
        <f t="shared" ref="S30:T30" si="19">(S4-S7)/S4</f>
        <v>0.77507606718857414</v>
      </c>
      <c r="T30" s="58">
        <f t="shared" ref="T30:U30" si="20">(T4-T7)/T4</f>
        <v>0.76739083568249356</v>
      </c>
      <c r="U30" s="58">
        <f>(U4-U7)/U4</f>
        <v>0.78125755711518174</v>
      </c>
    </row>
    <row r="31" spans="2:21" s="58" customFormat="1" x14ac:dyDescent="0.2">
      <c r="B31" s="57" t="s">
        <v>111</v>
      </c>
      <c r="O31" s="58">
        <f t="shared" ref="O31:P31" si="21">(O5-O8)/O5</f>
        <v>0.4437606105699991</v>
      </c>
      <c r="P31" s="58">
        <f t="shared" ref="P31:Q31" si="22">(P5-P8)/P5</f>
        <v>0.44529602347403491</v>
      </c>
      <c r="Q31" s="58">
        <f>(Q5-Q8)/Q5</f>
        <v>0.43179959671480017</v>
      </c>
      <c r="S31" s="58">
        <f t="shared" ref="S31:T31" si="23">(S5-S8)/S5</f>
        <v>0.43129280373331225</v>
      </c>
      <c r="T31" s="58">
        <f t="shared" ref="T31:U31" si="24">(T5-T8)/T5</f>
        <v>0.40321875471129204</v>
      </c>
      <c r="U31" s="58">
        <f>(U5-U8)/U5</f>
        <v>0.37210260844793264</v>
      </c>
    </row>
    <row r="32" spans="2:21" s="51" customFormat="1" x14ac:dyDescent="0.2">
      <c r="B32" s="51" t="s">
        <v>94</v>
      </c>
      <c r="O32" s="51">
        <f t="shared" ref="O32:P32" si="25">O16/O6</f>
        <v>0.12026436129376804</v>
      </c>
      <c r="P32" s="51">
        <f t="shared" ref="P32:Q32" si="26">P16/P6</f>
        <v>0.12456261808306789</v>
      </c>
      <c r="Q32" s="51">
        <f>Q16/Q6</f>
        <v>-3.6494206844999723E-3</v>
      </c>
      <c r="S32" s="51">
        <f t="shared" ref="S32:T32" si="27">S16/S6</f>
        <v>-8.1400903771363525E-2</v>
      </c>
      <c r="T32" s="51">
        <f t="shared" ref="T32:U32" si="28">T16/T6</f>
        <v>-0.14687161937295712</v>
      </c>
      <c r="U32" s="51">
        <f>U16/U6</f>
        <v>-0.2527931488801054</v>
      </c>
    </row>
    <row r="33" spans="2:21" s="51" customFormat="1" x14ac:dyDescent="0.2">
      <c r="B33" s="51" t="s">
        <v>95</v>
      </c>
      <c r="O33" s="51">
        <f t="shared" ref="O33:P33" si="29">O20/O6</f>
        <v>1.272896190450181</v>
      </c>
      <c r="P33" s="51">
        <f t="shared" ref="P33:Q33" si="30">P20/P6</f>
        <v>0.85715421481180409</v>
      </c>
      <c r="Q33" s="51">
        <f>Q20/Q6</f>
        <v>1.0219730542652217</v>
      </c>
      <c r="S33" s="51">
        <f t="shared" ref="S33:T33" si="31">S20/S6</f>
        <v>-1.2249749298576047</v>
      </c>
      <c r="T33" s="51">
        <f t="shared" ref="T33:U33" si="32">T20/T6</f>
        <v>-0.9296126906567479</v>
      </c>
      <c r="U33" s="51">
        <f>U20/U6</f>
        <v>-0.11594861660079051</v>
      </c>
    </row>
    <row r="34" spans="2:21" s="51" customFormat="1" x14ac:dyDescent="0.2">
      <c r="B34" s="51" t="s">
        <v>96</v>
      </c>
      <c r="O34" s="51">
        <f t="shared" ref="O34:P34" si="33">O19/O18</f>
        <v>8.1121161496089222E-2</v>
      </c>
      <c r="P34" s="51">
        <f t="shared" ref="P34:Q34" si="34">P19/P18</f>
        <v>-4.3752141540168502E-2</v>
      </c>
      <c r="Q34" s="51">
        <f>Q19/Q18</f>
        <v>0.14325018725027078</v>
      </c>
      <c r="S34" s="51">
        <f t="shared" ref="S34:T34" si="35">S19/S18</f>
        <v>0.10796396784476819</v>
      </c>
      <c r="T34" s="51">
        <f t="shared" ref="T34:U34" si="36">T19/T18</f>
        <v>-4.7210515334863345E-3</v>
      </c>
      <c r="U34" s="51">
        <f>U19/U18</f>
        <v>-8.1205093774064027E-3</v>
      </c>
    </row>
    <row r="36" spans="2:21" s="51" customFormat="1" x14ac:dyDescent="0.2">
      <c r="B36" s="51" t="s">
        <v>97</v>
      </c>
      <c r="O36" s="51">
        <f t="shared" ref="O36:P36" si="37">O12/O6</f>
        <v>0.17790576414028467</v>
      </c>
      <c r="P36" s="51">
        <f>P12/P6</f>
        <v>0.16397143227224203</v>
      </c>
      <c r="Q36" s="51">
        <f>Q12/Q6</f>
        <v>0.19668962571413315</v>
      </c>
      <c r="S36" s="51">
        <f t="shared" ref="S36:T36" si="38">S12/S6</f>
        <v>0.25228913040046591</v>
      </c>
      <c r="T36" s="51">
        <f t="shared" ref="T36:U36" si="39">T12/T6</f>
        <v>0.26768350265585533</v>
      </c>
      <c r="U36" s="51">
        <f>U12/U6</f>
        <v>0.30182916117698722</v>
      </c>
    </row>
    <row r="40" spans="2:21" x14ac:dyDescent="0.2">
      <c r="B40" s="53" t="s">
        <v>98</v>
      </c>
    </row>
    <row r="41" spans="2:21" s="2" customFormat="1" x14ac:dyDescent="0.2">
      <c r="B41" s="2" t="s">
        <v>6</v>
      </c>
      <c r="S41" s="48">
        <v>2451.5450000000001</v>
      </c>
      <c r="T41" s="48">
        <v>3350.7809999999999</v>
      </c>
      <c r="U41" s="48">
        <v>1378.251</v>
      </c>
    </row>
    <row r="42" spans="2:21" s="2" customFormat="1" x14ac:dyDescent="0.2">
      <c r="B42" s="2" t="s">
        <v>112</v>
      </c>
      <c r="S42" s="48">
        <v>4795.1450000000004</v>
      </c>
      <c r="T42" s="48">
        <v>3604.01</v>
      </c>
      <c r="U42" s="48">
        <v>3563.181</v>
      </c>
    </row>
    <row r="43" spans="2:21" x14ac:dyDescent="0.2">
      <c r="B43" s="1" t="s">
        <v>113</v>
      </c>
      <c r="S43" s="49">
        <v>225.25200000000001</v>
      </c>
      <c r="T43" s="49">
        <v>238.72300000000001</v>
      </c>
      <c r="U43" s="49">
        <v>241.18299999999999</v>
      </c>
    </row>
    <row r="44" spans="2:21" x14ac:dyDescent="0.2">
      <c r="B44" s="1" t="s">
        <v>114</v>
      </c>
      <c r="S44" s="49">
        <v>486.50700000000001</v>
      </c>
      <c r="T44" s="49">
        <v>537.79</v>
      </c>
      <c r="U44" s="49">
        <v>666.053</v>
      </c>
    </row>
    <row r="45" spans="2:21" x14ac:dyDescent="0.2">
      <c r="B45" s="1" t="s">
        <v>115</v>
      </c>
      <c r="S45" s="49">
        <v>3.3690000000000002</v>
      </c>
      <c r="T45" s="49">
        <v>13.212999999999999</v>
      </c>
      <c r="U45" s="49">
        <v>11.996</v>
      </c>
    </row>
    <row r="46" spans="2:21" x14ac:dyDescent="0.2">
      <c r="B46" s="1" t="s">
        <v>116</v>
      </c>
      <c r="S46" s="49">
        <v>113.063</v>
      </c>
      <c r="T46" s="49">
        <v>113.247</v>
      </c>
      <c r="U46" s="49">
        <v>152.322</v>
      </c>
    </row>
    <row r="47" spans="2:21" x14ac:dyDescent="0.2">
      <c r="B47" s="1" t="s">
        <v>117</v>
      </c>
      <c r="C47" s="1">
        <f t="shared" ref="C47:T47" si="40">SUM(C41:C46)</f>
        <v>0</v>
      </c>
      <c r="D47" s="1">
        <f t="shared" si="40"/>
        <v>0</v>
      </c>
      <c r="E47" s="1">
        <f t="shared" si="40"/>
        <v>0</v>
      </c>
      <c r="F47" s="1">
        <f t="shared" si="40"/>
        <v>0</v>
      </c>
      <c r="G47" s="1">
        <f t="shared" si="40"/>
        <v>0</v>
      </c>
      <c r="H47" s="1">
        <f t="shared" si="40"/>
        <v>0</v>
      </c>
      <c r="I47" s="1">
        <f t="shared" si="40"/>
        <v>0</v>
      </c>
      <c r="J47" s="1">
        <f t="shared" si="40"/>
        <v>0</v>
      </c>
      <c r="K47" s="1">
        <f t="shared" si="40"/>
        <v>0</v>
      </c>
      <c r="L47" s="1">
        <f t="shared" si="40"/>
        <v>0</v>
      </c>
      <c r="M47" s="1">
        <f t="shared" si="40"/>
        <v>0</v>
      </c>
      <c r="N47" s="1">
        <f t="shared" si="40"/>
        <v>0</v>
      </c>
      <c r="O47" s="1">
        <f t="shared" si="40"/>
        <v>0</v>
      </c>
      <c r="P47" s="1">
        <f t="shared" si="40"/>
        <v>0</v>
      </c>
      <c r="Q47" s="1">
        <f t="shared" si="40"/>
        <v>0</v>
      </c>
      <c r="R47" s="1">
        <f t="shared" si="40"/>
        <v>0</v>
      </c>
      <c r="S47" s="49">
        <f t="shared" si="40"/>
        <v>8074.8810000000003</v>
      </c>
      <c r="T47" s="49">
        <f t="shared" si="40"/>
        <v>7857.7640000000001</v>
      </c>
      <c r="U47" s="49">
        <f>SUM(U41:U46)</f>
        <v>6012.9859999999999</v>
      </c>
    </row>
    <row r="48" spans="2:21" x14ac:dyDescent="0.2">
      <c r="B48" s="1" t="s">
        <v>118</v>
      </c>
      <c r="S48" s="49">
        <v>109.57</v>
      </c>
      <c r="T48" s="49">
        <v>114.20699999999999</v>
      </c>
      <c r="U48" s="49">
        <v>128.46100000000001</v>
      </c>
    </row>
    <row r="49" spans="2:21" x14ac:dyDescent="0.2">
      <c r="B49" s="1" t="s">
        <v>119</v>
      </c>
      <c r="S49" s="49">
        <v>220.20500000000001</v>
      </c>
      <c r="T49" s="49">
        <v>224.55500000000001</v>
      </c>
      <c r="U49" s="49">
        <v>349.74</v>
      </c>
    </row>
    <row r="50" spans="2:21" x14ac:dyDescent="0.2">
      <c r="B50" s="1" t="s">
        <v>120</v>
      </c>
      <c r="S50" s="49">
        <v>131.608</v>
      </c>
      <c r="T50" s="49">
        <v>133.12899999999999</v>
      </c>
      <c r="U50" s="49">
        <v>410.81900000000002</v>
      </c>
    </row>
    <row r="51" spans="2:21" x14ac:dyDescent="0.2">
      <c r="B51" s="1" t="s">
        <v>121</v>
      </c>
      <c r="S51" s="49">
        <v>47.064</v>
      </c>
      <c r="T51" s="49">
        <v>44.762999999999998</v>
      </c>
      <c r="U51" s="49">
        <v>43.25</v>
      </c>
    </row>
    <row r="52" spans="2:21" x14ac:dyDescent="0.2">
      <c r="B52" s="1" t="s">
        <v>122</v>
      </c>
      <c r="S52" s="49">
        <v>2894.6010000000001</v>
      </c>
      <c r="T52" s="49">
        <v>1993.867</v>
      </c>
      <c r="U52" s="49">
        <v>2421.7469999999998</v>
      </c>
    </row>
    <row r="53" spans="2:21" x14ac:dyDescent="0.2">
      <c r="B53" s="1" t="s">
        <v>123</v>
      </c>
      <c r="S53" s="49">
        <v>356.52800000000002</v>
      </c>
      <c r="T53" s="49">
        <v>379.34500000000003</v>
      </c>
      <c r="U53" s="49">
        <v>1836.2819999999999</v>
      </c>
    </row>
    <row r="54" spans="2:21" x14ac:dyDescent="0.2">
      <c r="B54" s="1" t="s">
        <v>124</v>
      </c>
      <c r="C54" s="1">
        <f t="shared" ref="C54:T54" si="41">SUM(C48:C53)+C47</f>
        <v>0</v>
      </c>
      <c r="D54" s="1">
        <f t="shared" si="41"/>
        <v>0</v>
      </c>
      <c r="E54" s="1">
        <f t="shared" si="41"/>
        <v>0</v>
      </c>
      <c r="F54" s="1">
        <f t="shared" si="41"/>
        <v>0</v>
      </c>
      <c r="G54" s="1">
        <f t="shared" si="41"/>
        <v>0</v>
      </c>
      <c r="H54" s="1">
        <f t="shared" si="41"/>
        <v>0</v>
      </c>
      <c r="I54" s="1">
        <f t="shared" si="41"/>
        <v>0</v>
      </c>
      <c r="J54" s="1">
        <f t="shared" si="41"/>
        <v>0</v>
      </c>
      <c r="K54" s="1">
        <f t="shared" si="41"/>
        <v>0</v>
      </c>
      <c r="L54" s="1">
        <f t="shared" si="41"/>
        <v>0</v>
      </c>
      <c r="M54" s="1">
        <f t="shared" si="41"/>
        <v>0</v>
      </c>
      <c r="N54" s="1">
        <f t="shared" si="41"/>
        <v>0</v>
      </c>
      <c r="O54" s="1">
        <f t="shared" si="41"/>
        <v>0</v>
      </c>
      <c r="P54" s="1">
        <f t="shared" si="41"/>
        <v>0</v>
      </c>
      <c r="Q54" s="1">
        <f t="shared" si="41"/>
        <v>0</v>
      </c>
      <c r="R54" s="1">
        <f t="shared" si="41"/>
        <v>0</v>
      </c>
      <c r="S54" s="49">
        <f t="shared" si="41"/>
        <v>11834.457</v>
      </c>
      <c r="T54" s="49">
        <f t="shared" si="41"/>
        <v>10747.630000000001</v>
      </c>
      <c r="U54" s="49">
        <f>SUM(U48:U53)+U47</f>
        <v>11203.285</v>
      </c>
    </row>
    <row r="55" spans="2:21" x14ac:dyDescent="0.2">
      <c r="S55" s="49"/>
      <c r="T55" s="49"/>
      <c r="U55" s="49"/>
    </row>
    <row r="56" spans="2:21" x14ac:dyDescent="0.2">
      <c r="B56" s="1" t="s">
        <v>125</v>
      </c>
      <c r="S56" s="49">
        <v>406.64699999999999</v>
      </c>
      <c r="T56" s="49">
        <v>419.40800000000002</v>
      </c>
      <c r="U56" s="49">
        <v>596.11400000000003</v>
      </c>
    </row>
    <row r="57" spans="2:21" x14ac:dyDescent="0.2">
      <c r="B57" s="1" t="s">
        <v>126</v>
      </c>
      <c r="S57" s="49">
        <v>8.2940000000000005</v>
      </c>
      <c r="T57" s="49">
        <v>4.125</v>
      </c>
      <c r="U57" s="49">
        <v>4.4580000000000002</v>
      </c>
    </row>
    <row r="58" spans="2:21" x14ac:dyDescent="0.2">
      <c r="B58" s="1" t="s">
        <v>127</v>
      </c>
      <c r="S58" s="49">
        <v>247.64699999999999</v>
      </c>
      <c r="T58" s="49">
        <v>254.00700000000001</v>
      </c>
      <c r="U58" s="49">
        <v>287.625</v>
      </c>
    </row>
    <row r="59" spans="2:21" x14ac:dyDescent="0.2">
      <c r="B59" s="1" t="s">
        <v>128</v>
      </c>
      <c r="S59" s="49">
        <v>19.344000000000001</v>
      </c>
      <c r="T59" s="49">
        <v>25.667999999999999</v>
      </c>
      <c r="U59" s="49">
        <v>17.024000000000001</v>
      </c>
    </row>
    <row r="60" spans="2:21" x14ac:dyDescent="0.2">
      <c r="B60" s="1" t="s">
        <v>129</v>
      </c>
      <c r="C60" s="1">
        <f t="shared" ref="C60:T60" si="42">SUM(C56:C59)</f>
        <v>0</v>
      </c>
      <c r="D60" s="1">
        <f t="shared" si="42"/>
        <v>0</v>
      </c>
      <c r="E60" s="1">
        <f t="shared" si="42"/>
        <v>0</v>
      </c>
      <c r="F60" s="1">
        <f t="shared" si="42"/>
        <v>0</v>
      </c>
      <c r="G60" s="1">
        <f t="shared" si="42"/>
        <v>0</v>
      </c>
      <c r="H60" s="1">
        <f t="shared" si="42"/>
        <v>0</v>
      </c>
      <c r="I60" s="1">
        <f t="shared" si="42"/>
        <v>0</v>
      </c>
      <c r="J60" s="1">
        <f t="shared" si="42"/>
        <v>0</v>
      </c>
      <c r="K60" s="1">
        <f t="shared" si="42"/>
        <v>0</v>
      </c>
      <c r="L60" s="1">
        <f t="shared" si="42"/>
        <v>0</v>
      </c>
      <c r="M60" s="1">
        <f t="shared" si="42"/>
        <v>0</v>
      </c>
      <c r="N60" s="1">
        <f t="shared" si="42"/>
        <v>0</v>
      </c>
      <c r="O60" s="1">
        <f t="shared" si="42"/>
        <v>0</v>
      </c>
      <c r="P60" s="1">
        <f t="shared" si="42"/>
        <v>0</v>
      </c>
      <c r="Q60" s="1">
        <f t="shared" si="42"/>
        <v>0</v>
      </c>
      <c r="R60" s="1">
        <f t="shared" si="42"/>
        <v>0</v>
      </c>
      <c r="S60" s="49">
        <f t="shared" si="42"/>
        <v>681.93200000000002</v>
      </c>
      <c r="T60" s="49">
        <f t="shared" si="42"/>
        <v>703.20799999999997</v>
      </c>
      <c r="U60" s="49">
        <f>SUM(U56:U59)</f>
        <v>905.221</v>
      </c>
    </row>
    <row r="61" spans="2:21" x14ac:dyDescent="0.2">
      <c r="B61" s="1" t="s">
        <v>127</v>
      </c>
      <c r="S61" s="49">
        <v>186.636</v>
      </c>
      <c r="T61" s="49">
        <v>159.405</v>
      </c>
      <c r="U61" s="49">
        <v>299.625</v>
      </c>
    </row>
    <row r="62" spans="2:21" x14ac:dyDescent="0.2">
      <c r="B62" s="1" t="s">
        <v>128</v>
      </c>
      <c r="S62" s="49">
        <v>264.53399999999999</v>
      </c>
      <c r="T62" s="49">
        <v>254.417</v>
      </c>
      <c r="U62" s="49">
        <v>369.13099999999997</v>
      </c>
    </row>
    <row r="63" spans="2:21" s="2" customFormat="1" x14ac:dyDescent="0.2">
      <c r="B63" s="2" t="s">
        <v>130</v>
      </c>
      <c r="S63" s="48">
        <v>911.54899999999998</v>
      </c>
      <c r="T63" s="48">
        <v>912.13699999999994</v>
      </c>
      <c r="U63" s="48">
        <v>912.72400000000005</v>
      </c>
    </row>
    <row r="64" spans="2:21" x14ac:dyDescent="0.2">
      <c r="B64" s="1" t="s">
        <v>121</v>
      </c>
      <c r="S64" s="49">
        <v>0.21099999999999999</v>
      </c>
      <c r="T64" s="49">
        <v>1.335</v>
      </c>
      <c r="U64" s="49">
        <v>23.576000000000001</v>
      </c>
    </row>
    <row r="65" spans="2:21" x14ac:dyDescent="0.2">
      <c r="B65" s="1" t="s">
        <v>131</v>
      </c>
      <c r="C65" s="1">
        <f t="shared" ref="C65:T65" si="43">SUM(C61:C64)+C60</f>
        <v>0</v>
      </c>
      <c r="D65" s="1">
        <f t="shared" si="43"/>
        <v>0</v>
      </c>
      <c r="E65" s="1">
        <f t="shared" si="43"/>
        <v>0</v>
      </c>
      <c r="F65" s="1">
        <f t="shared" si="43"/>
        <v>0</v>
      </c>
      <c r="G65" s="1">
        <f t="shared" si="43"/>
        <v>0</v>
      </c>
      <c r="H65" s="1">
        <f t="shared" si="43"/>
        <v>0</v>
      </c>
      <c r="I65" s="1">
        <f t="shared" si="43"/>
        <v>0</v>
      </c>
      <c r="J65" s="1">
        <f t="shared" si="43"/>
        <v>0</v>
      </c>
      <c r="K65" s="1">
        <f t="shared" si="43"/>
        <v>0</v>
      </c>
      <c r="L65" s="1">
        <f t="shared" si="43"/>
        <v>0</v>
      </c>
      <c r="M65" s="1">
        <f t="shared" si="43"/>
        <v>0</v>
      </c>
      <c r="N65" s="1">
        <f t="shared" si="43"/>
        <v>0</v>
      </c>
      <c r="O65" s="1">
        <f t="shared" si="43"/>
        <v>0</v>
      </c>
      <c r="P65" s="1">
        <f t="shared" si="43"/>
        <v>0</v>
      </c>
      <c r="Q65" s="1">
        <f t="shared" si="43"/>
        <v>0</v>
      </c>
      <c r="R65" s="1">
        <f t="shared" si="43"/>
        <v>0</v>
      </c>
      <c r="S65" s="49">
        <f t="shared" si="43"/>
        <v>2044.8620000000001</v>
      </c>
      <c r="T65" s="49">
        <f t="shared" si="43"/>
        <v>2030.502</v>
      </c>
      <c r="U65" s="49">
        <f>SUM(U61:U64)+U60</f>
        <v>2510.277</v>
      </c>
    </row>
    <row r="66" spans="2:21" x14ac:dyDescent="0.2">
      <c r="S66" s="49"/>
      <c r="T66" s="49"/>
      <c r="U66" s="49"/>
    </row>
    <row r="67" spans="2:21" x14ac:dyDescent="0.2">
      <c r="B67" s="1" t="s">
        <v>132</v>
      </c>
      <c r="S67" s="49">
        <v>9789.5949999999993</v>
      </c>
      <c r="T67" s="49">
        <v>8717.1280000000006</v>
      </c>
      <c r="U67" s="49">
        <v>8693.0079999999998</v>
      </c>
    </row>
    <row r="68" spans="2:21" x14ac:dyDescent="0.2">
      <c r="B68" s="1" t="s">
        <v>133</v>
      </c>
      <c r="S68" s="49">
        <f>S67+S65</f>
        <v>11834.456999999999</v>
      </c>
      <c r="T68" s="49">
        <f>T67+T65</f>
        <v>10747.630000000001</v>
      </c>
      <c r="U68" s="49">
        <f>U67+U65</f>
        <v>11203.285</v>
      </c>
    </row>
    <row r="70" spans="2:21" x14ac:dyDescent="0.2">
      <c r="B70" s="1" t="s">
        <v>134</v>
      </c>
      <c r="S70" s="49">
        <f t="shared" ref="S70:T70" si="44">S54-S65</f>
        <v>9789.5950000000012</v>
      </c>
      <c r="T70" s="49">
        <f t="shared" si="44"/>
        <v>8717.1280000000006</v>
      </c>
      <c r="U70" s="49">
        <f>U54-U65</f>
        <v>8693.0079999999998</v>
      </c>
    </row>
    <row r="71" spans="2:21" x14ac:dyDescent="0.2">
      <c r="B71" s="1" t="s">
        <v>135</v>
      </c>
      <c r="S71" s="1">
        <f t="shared" ref="S71" si="45">S70/S22</f>
        <v>77.687142379346611</v>
      </c>
      <c r="T71" s="1">
        <f t="shared" ref="T71" si="46">T70/T22</f>
        <v>6.9073275958982521</v>
      </c>
      <c r="U71" s="1">
        <f>U70/U22</f>
        <v>6.8479874371111631</v>
      </c>
    </row>
    <row r="73" spans="2:21" s="44" customFormat="1" x14ac:dyDescent="0.2">
      <c r="B73" s="44" t="s">
        <v>6</v>
      </c>
      <c r="S73" s="47">
        <f t="shared" ref="S73:T73" si="47">S41+S42</f>
        <v>7246.6900000000005</v>
      </c>
      <c r="T73" s="47">
        <f t="shared" ref="T73:U73" si="48">T41+T42</f>
        <v>6954.7910000000002</v>
      </c>
      <c r="U73" s="47">
        <f>U41+U42</f>
        <v>4941.4319999999998</v>
      </c>
    </row>
    <row r="74" spans="2:21" s="44" customFormat="1" x14ac:dyDescent="0.2">
      <c r="B74" s="44" t="s">
        <v>7</v>
      </c>
      <c r="S74" s="47">
        <f t="shared" ref="S74:T74" si="49">S63</f>
        <v>911.54899999999998</v>
      </c>
      <c r="T74" s="47">
        <f t="shared" ref="T74:U74" si="50">T63</f>
        <v>912.13699999999994</v>
      </c>
      <c r="U74" s="47">
        <f>U63</f>
        <v>912.72400000000005</v>
      </c>
    </row>
    <row r="75" spans="2:21" x14ac:dyDescent="0.2">
      <c r="B75" s="1" t="s">
        <v>8</v>
      </c>
      <c r="S75" s="49">
        <f t="shared" ref="S75" si="51">S73-S74</f>
        <v>6335.1410000000005</v>
      </c>
      <c r="T75" s="49">
        <f t="shared" ref="T75" si="52">T73-T74</f>
        <v>6042.6540000000005</v>
      </c>
      <c r="U75" s="49">
        <f>U73-U74</f>
        <v>4028.7079999999996</v>
      </c>
    </row>
    <row r="77" spans="2:21" x14ac:dyDescent="0.2">
      <c r="B77" s="1" t="s">
        <v>136</v>
      </c>
      <c r="S77" s="1">
        <v>67.599999999999994</v>
      </c>
      <c r="T77" s="1">
        <v>31.24</v>
      </c>
      <c r="U77" s="1">
        <v>26.94</v>
      </c>
    </row>
    <row r="78" spans="2:21" x14ac:dyDescent="0.2">
      <c r="B78" s="1" t="s">
        <v>137</v>
      </c>
      <c r="S78" s="49">
        <f>S77*(10*S22)</f>
        <v>85184.832616</v>
      </c>
      <c r="T78" s="49">
        <f t="shared" ref="T78" si="53">T77*T22</f>
        <v>39425.244414599998</v>
      </c>
      <c r="U78" s="49">
        <f>U77*U22</f>
        <v>34198.315588440004</v>
      </c>
    </row>
    <row r="79" spans="2:21" x14ac:dyDescent="0.2">
      <c r="B79" s="1" t="s">
        <v>9</v>
      </c>
      <c r="S79" s="49">
        <f t="shared" ref="S79" si="54">S78-S75</f>
        <v>78849.691615999996</v>
      </c>
      <c r="T79" s="49">
        <f t="shared" ref="T79" si="55">T78-T75</f>
        <v>33382.590414599996</v>
      </c>
      <c r="U79" s="49">
        <f>U78-U75</f>
        <v>30169.607588440005</v>
      </c>
    </row>
    <row r="81" spans="2:23" x14ac:dyDescent="0.2">
      <c r="B81" s="1" t="s">
        <v>22</v>
      </c>
      <c r="S81" s="62">
        <f>S77/(S71/10)</f>
        <v>8.701568616066341</v>
      </c>
      <c r="T81" s="62">
        <f t="shared" ref="S81:U81" si="56">T77/T71</f>
        <v>4.5227332229835326</v>
      </c>
      <c r="U81" s="62">
        <f>U77/U71</f>
        <v>3.9340025441642301</v>
      </c>
    </row>
    <row r="82" spans="2:23" x14ac:dyDescent="0.2">
      <c r="B82" s="1" t="s">
        <v>23</v>
      </c>
    </row>
    <row r="83" spans="2:23" x14ac:dyDescent="0.2">
      <c r="B83" s="1" t="s">
        <v>24</v>
      </c>
    </row>
    <row r="84" spans="2:23" x14ac:dyDescent="0.2">
      <c r="B84" s="1" t="s">
        <v>25</v>
      </c>
    </row>
    <row r="85" spans="2:23" x14ac:dyDescent="0.2">
      <c r="B85" s="1" t="s">
        <v>26</v>
      </c>
    </row>
    <row r="86" spans="2:23" x14ac:dyDescent="0.2">
      <c r="B86" s="1" t="s">
        <v>27</v>
      </c>
    </row>
    <row r="88" spans="2:23" x14ac:dyDescent="0.2">
      <c r="B88" s="53" t="s">
        <v>99</v>
      </c>
    </row>
    <row r="91" spans="2:23" s="2" customFormat="1" x14ac:dyDescent="0.2">
      <c r="B91" s="2" t="s">
        <v>100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48">
        <v>135.68299999999999</v>
      </c>
      <c r="P91" s="64">
        <f>202.104-O91</f>
        <v>66.421000000000021</v>
      </c>
      <c r="Q91" s="2">
        <v>0</v>
      </c>
      <c r="R91" s="2">
        <v>0</v>
      </c>
      <c r="S91" s="48">
        <v>-53.56</v>
      </c>
      <c r="T91" s="64">
        <f>-177.727-S91</f>
        <v>-124.167</v>
      </c>
      <c r="U91" s="2">
        <v>0</v>
      </c>
    </row>
    <row r="92" spans="2:23" x14ac:dyDescent="0.2">
      <c r="O92" s="49"/>
      <c r="S92" s="49"/>
      <c r="T92" s="49"/>
    </row>
    <row r="93" spans="2:23" x14ac:dyDescent="0.2">
      <c r="B93" s="1" t="s">
        <v>139</v>
      </c>
      <c r="O93" s="49">
        <v>-2444.9549999999999</v>
      </c>
      <c r="P93" s="49">
        <f>-4149.857-O93</f>
        <v>-1704.902</v>
      </c>
      <c r="S93" s="49">
        <v>-1463.7049999999999</v>
      </c>
      <c r="T93" s="49">
        <f>-2033.09-S93</f>
        <v>-569.38499999999999</v>
      </c>
    </row>
    <row r="94" spans="2:23" x14ac:dyDescent="0.2">
      <c r="B94" s="1" t="s">
        <v>140</v>
      </c>
      <c r="O94" s="49">
        <v>1038.316</v>
      </c>
      <c r="P94" s="49">
        <f>2437.951-O94</f>
        <v>1399.635</v>
      </c>
      <c r="S94" s="49">
        <v>1929.395</v>
      </c>
      <c r="T94" s="49">
        <f>3689.564-S94</f>
        <v>1760.1689999999999</v>
      </c>
    </row>
    <row r="95" spans="2:23" x14ac:dyDescent="0.2">
      <c r="B95" s="1" t="s">
        <v>141</v>
      </c>
      <c r="O95" s="49">
        <v>-206.55199999999999</v>
      </c>
      <c r="P95" s="49">
        <f>-401.874-O95</f>
        <v>-195.32200000000003</v>
      </c>
      <c r="S95" s="49">
        <v>453.94499999999999</v>
      </c>
      <c r="T95" s="49">
        <f>569.649-S95</f>
        <v>115.70400000000001</v>
      </c>
    </row>
    <row r="96" spans="2:23" x14ac:dyDescent="0.2">
      <c r="B96" s="1" t="s">
        <v>142</v>
      </c>
      <c r="O96" s="49">
        <v>5.1879999999999997</v>
      </c>
      <c r="P96" s="49">
        <f>-13.451+O96</f>
        <v>-8.2630000000000017</v>
      </c>
      <c r="S96" s="49">
        <v>15.94</v>
      </c>
      <c r="T96" s="49">
        <f>28.489-S96</f>
        <v>12.549000000000001</v>
      </c>
      <c r="W96" s="49"/>
    </row>
    <row r="97" spans="2:22" x14ac:dyDescent="0.2">
      <c r="B97" s="1" t="s">
        <v>143</v>
      </c>
      <c r="O97" s="49">
        <v>0</v>
      </c>
      <c r="P97" s="49">
        <v>0</v>
      </c>
      <c r="S97" s="49">
        <v>0</v>
      </c>
      <c r="T97" s="49">
        <v>30.007999999999999</v>
      </c>
      <c r="V97" s="49"/>
    </row>
    <row r="98" spans="2:22" s="2" customFormat="1" x14ac:dyDescent="0.2">
      <c r="B98" s="2" t="s">
        <v>102</v>
      </c>
      <c r="C98" s="2">
        <f t="shared" ref="C98:T98" si="57">SUM(C93:C97)</f>
        <v>0</v>
      </c>
      <c r="D98" s="2">
        <f t="shared" si="57"/>
        <v>0</v>
      </c>
      <c r="E98" s="2">
        <f t="shared" si="57"/>
        <v>0</v>
      </c>
      <c r="F98" s="2">
        <f t="shared" si="57"/>
        <v>0</v>
      </c>
      <c r="G98" s="2">
        <f t="shared" si="57"/>
        <v>0</v>
      </c>
      <c r="H98" s="2">
        <f t="shared" si="57"/>
        <v>0</v>
      </c>
      <c r="I98" s="2">
        <f t="shared" si="57"/>
        <v>0</v>
      </c>
      <c r="J98" s="2">
        <f t="shared" si="57"/>
        <v>0</v>
      </c>
      <c r="K98" s="2">
        <f t="shared" si="57"/>
        <v>0</v>
      </c>
      <c r="L98" s="2">
        <f t="shared" si="57"/>
        <v>0</v>
      </c>
      <c r="M98" s="2">
        <f t="shared" si="57"/>
        <v>0</v>
      </c>
      <c r="N98" s="2">
        <f t="shared" si="57"/>
        <v>0</v>
      </c>
      <c r="O98" s="48">
        <f t="shared" si="57"/>
        <v>-1608.0029999999997</v>
      </c>
      <c r="P98" s="48">
        <f t="shared" si="57"/>
        <v>-508.85200000000003</v>
      </c>
      <c r="Q98" s="2">
        <f t="shared" si="57"/>
        <v>0</v>
      </c>
      <c r="R98" s="2">
        <f t="shared" si="57"/>
        <v>0</v>
      </c>
      <c r="S98" s="48">
        <f t="shared" si="57"/>
        <v>935.57500000000005</v>
      </c>
      <c r="T98" s="48">
        <f t="shared" si="57"/>
        <v>1349.0449999999998</v>
      </c>
      <c r="U98" s="2">
        <f>SUM(U93:U97)</f>
        <v>0</v>
      </c>
    </row>
    <row r="99" spans="2:22" x14ac:dyDescent="0.2">
      <c r="O99" s="49"/>
      <c r="P99" s="49"/>
      <c r="S99" s="49"/>
      <c r="T99" s="49"/>
    </row>
    <row r="100" spans="2:22" x14ac:dyDescent="0.2">
      <c r="B100" s="1" t="s">
        <v>101</v>
      </c>
      <c r="C100" s="1">
        <f t="shared" ref="C100:U100" si="58">C96+C97</f>
        <v>0</v>
      </c>
      <c r="D100" s="1">
        <f t="shared" si="58"/>
        <v>0</v>
      </c>
      <c r="E100" s="1">
        <f t="shared" si="58"/>
        <v>0</v>
      </c>
      <c r="F100" s="1">
        <f t="shared" si="58"/>
        <v>0</v>
      </c>
      <c r="G100" s="1">
        <f t="shared" si="58"/>
        <v>0</v>
      </c>
      <c r="H100" s="1">
        <f t="shared" si="58"/>
        <v>0</v>
      </c>
      <c r="I100" s="1">
        <f t="shared" si="58"/>
        <v>0</v>
      </c>
      <c r="J100" s="1">
        <f t="shared" si="58"/>
        <v>0</v>
      </c>
      <c r="K100" s="1">
        <f t="shared" si="58"/>
        <v>0</v>
      </c>
      <c r="L100" s="1">
        <f t="shared" si="58"/>
        <v>0</v>
      </c>
      <c r="M100" s="1">
        <f t="shared" si="58"/>
        <v>0</v>
      </c>
      <c r="N100" s="1">
        <f t="shared" si="58"/>
        <v>0</v>
      </c>
      <c r="O100" s="49">
        <f t="shared" si="58"/>
        <v>5.1879999999999997</v>
      </c>
      <c r="P100" s="49">
        <f t="shared" si="58"/>
        <v>-8.2630000000000017</v>
      </c>
      <c r="Q100" s="1">
        <f t="shared" si="58"/>
        <v>0</v>
      </c>
      <c r="R100" s="1">
        <f t="shared" si="58"/>
        <v>0</v>
      </c>
      <c r="S100" s="49">
        <f t="shared" si="58"/>
        <v>15.94</v>
      </c>
      <c r="T100" s="49">
        <f t="shared" si="58"/>
        <v>42.557000000000002</v>
      </c>
      <c r="U100" s="1">
        <f>U96+U97</f>
        <v>0</v>
      </c>
    </row>
    <row r="101" spans="2:22" x14ac:dyDescent="0.2">
      <c r="O101" s="49"/>
      <c r="P101" s="49"/>
      <c r="S101" s="49"/>
      <c r="T101" s="49"/>
    </row>
    <row r="102" spans="2:22" s="2" customFormat="1" x14ac:dyDescent="0.2">
      <c r="B102" s="2" t="s">
        <v>103</v>
      </c>
      <c r="C102" s="48">
        <f t="shared" ref="C102:S102" si="59">C100-C91</f>
        <v>0</v>
      </c>
      <c r="D102" s="48">
        <f t="shared" si="59"/>
        <v>0</v>
      </c>
      <c r="E102" s="48">
        <f t="shared" si="59"/>
        <v>0</v>
      </c>
      <c r="F102" s="48">
        <f t="shared" si="59"/>
        <v>0</v>
      </c>
      <c r="G102" s="48">
        <f t="shared" si="59"/>
        <v>0</v>
      </c>
      <c r="H102" s="48">
        <f t="shared" si="59"/>
        <v>0</v>
      </c>
      <c r="I102" s="48">
        <f t="shared" si="59"/>
        <v>0</v>
      </c>
      <c r="J102" s="48">
        <f t="shared" si="59"/>
        <v>0</v>
      </c>
      <c r="K102" s="48">
        <f t="shared" si="59"/>
        <v>0</v>
      </c>
      <c r="L102" s="48">
        <f t="shared" si="59"/>
        <v>0</v>
      </c>
      <c r="M102" s="48">
        <f t="shared" si="59"/>
        <v>0</v>
      </c>
      <c r="N102" s="48">
        <f t="shared" si="59"/>
        <v>0</v>
      </c>
      <c r="O102" s="48">
        <f t="shared" si="59"/>
        <v>-130.495</v>
      </c>
      <c r="P102" s="48">
        <f t="shared" si="59"/>
        <v>-74.684000000000026</v>
      </c>
      <c r="Q102" s="48">
        <f t="shared" si="59"/>
        <v>0</v>
      </c>
      <c r="R102" s="48">
        <f t="shared" si="59"/>
        <v>0</v>
      </c>
      <c r="S102" s="48">
        <f>S100-S91</f>
        <v>69.5</v>
      </c>
      <c r="T102" s="48">
        <f t="shared" ref="T102:U102" si="60">T100-T91</f>
        <v>166.72399999999999</v>
      </c>
      <c r="U102" s="48">
        <f t="shared" si="60"/>
        <v>0</v>
      </c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2023-02-04T14:36:44Z</dcterms:created>
  <dcterms:modified xsi:type="dcterms:W3CDTF">2023-02-04T20:35:44Z</dcterms:modified>
</cp:coreProperties>
</file>