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FDBCDAA-3D6A-44A9-983A-DC505A7B1332}" xr6:coauthVersionLast="36" xr6:coauthVersionMax="47" xr10:uidLastSave="{00000000-0000-0000-0000-000000000000}"/>
  <bookViews>
    <workbookView xWindow="4665" yWindow="495" windowWidth="27645" windowHeight="18855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O14" i="1"/>
  <c r="T14" i="1"/>
  <c r="I9" i="1" l="1"/>
  <c r="H9" i="1"/>
  <c r="AD9" i="1"/>
  <c r="AF9" i="1" l="1"/>
  <c r="AE9" i="1"/>
  <c r="AB9" i="1"/>
  <c r="AA9" i="1"/>
  <c r="Z9" i="1"/>
  <c r="Y9" i="1"/>
  <c r="K7" i="1" l="1"/>
  <c r="L7" i="1"/>
  <c r="R7" i="1"/>
  <c r="Q7" i="1"/>
  <c r="X7" i="1"/>
  <c r="W7" i="1"/>
  <c r="AB7" i="1"/>
  <c r="T7" i="1"/>
  <c r="AE7" i="1"/>
  <c r="AG7" i="1"/>
  <c r="Z7" i="1"/>
  <c r="Y7" i="1"/>
  <c r="J7" i="1"/>
  <c r="V7" i="1"/>
  <c r="S7" i="1" l="1"/>
  <c r="O7" i="1"/>
  <c r="AA7" i="1"/>
  <c r="K9" i="1" l="1"/>
  <c r="J9" i="1"/>
  <c r="P7" i="1" l="1"/>
  <c r="AG10" i="1"/>
  <c r="AF10" i="1"/>
  <c r="AE10" i="1"/>
  <c r="AB10" i="1"/>
  <c r="AA10" i="1"/>
  <c r="Z10" i="1"/>
  <c r="Y10" i="1"/>
  <c r="S10" i="1"/>
  <c r="M10" i="1"/>
  <c r="K10" i="1"/>
  <c r="AI11" i="1" l="1"/>
  <c r="AI15" i="1" l="1"/>
  <c r="AI1" i="1" s="1"/>
  <c r="AJ9" i="1" l="1"/>
  <c r="AK9" i="1"/>
  <c r="AJ23" i="1" l="1"/>
  <c r="AK23" i="1"/>
  <c r="I23" i="1"/>
  <c r="G23" i="1"/>
  <c r="F23" i="1"/>
  <c r="S16" i="1" l="1"/>
  <c r="R16" i="1"/>
  <c r="AF16" i="1"/>
  <c r="AG16" i="1"/>
  <c r="V16" i="1" l="1"/>
  <c r="P16" i="1"/>
  <c r="O16" i="1"/>
  <c r="AE16" i="1"/>
  <c r="Y16" i="1"/>
  <c r="AB12" i="1"/>
  <c r="AB15" i="1"/>
  <c r="AK16" i="1"/>
  <c r="AJ16" i="1"/>
  <c r="K16" i="1"/>
  <c r="J16" i="1"/>
  <c r="F16" i="1"/>
  <c r="AE8" i="1" l="1"/>
  <c r="AF8" i="1" l="1"/>
  <c r="AB8" i="1"/>
  <c r="AA8" i="1"/>
  <c r="Z8" i="1"/>
  <c r="Y8" i="1"/>
  <c r="K8" i="1"/>
  <c r="AF12" i="1" l="1"/>
  <c r="AE12" i="1"/>
  <c r="AD12" i="1"/>
  <c r="AA12" i="1"/>
  <c r="Z12" i="1"/>
  <c r="Y12" i="1"/>
  <c r="K12" i="1"/>
  <c r="K4" i="1" l="1"/>
  <c r="K11" i="1" l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G8" i="1" l="1"/>
  <c r="AF15" i="1"/>
  <c r="AG15" i="1" l="1"/>
  <c r="K15" i="1" l="1"/>
  <c r="Q3" i="1" l="1"/>
  <c r="AG3" i="1"/>
  <c r="AB3" i="1" l="1"/>
  <c r="AA3" i="1"/>
  <c r="Z3" i="1"/>
  <c r="Y3" i="1"/>
  <c r="AF3" i="1"/>
  <c r="AE3" i="1"/>
  <c r="K3" i="1"/>
  <c r="K13" i="1" l="1"/>
  <c r="AG13" i="1"/>
  <c r="AF13" i="1"/>
  <c r="AF1" i="1" s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AG1" i="1" s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D13" i="1"/>
  <c r="V13" i="1"/>
  <c r="P13" i="1"/>
  <c r="O13" i="1"/>
  <c r="AJ13" i="1" l="1"/>
  <c r="AK13" i="1"/>
  <c r="F13" i="1"/>
  <c r="H13" i="1"/>
  <c r="I13" i="1" l="1"/>
  <c r="F12" i="1"/>
  <c r="J11" i="1" l="1"/>
  <c r="AJ11" i="1" l="1"/>
  <c r="AK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J3" i="1"/>
  <c r="AK3" i="1"/>
  <c r="V14" i="1" l="1"/>
  <c r="AB14" i="1" l="1"/>
  <c r="AA14" i="1"/>
  <c r="Z14" i="1"/>
  <c r="Y14" i="1"/>
  <c r="AD7" i="1"/>
  <c r="AE14" i="1"/>
  <c r="J14" i="1" l="1"/>
  <c r="AH7" i="1"/>
  <c r="AK7" i="1"/>
  <c r="AJ7" i="1"/>
  <c r="I7" i="1" l="1"/>
  <c r="H7" i="1"/>
  <c r="G7" i="1"/>
  <c r="F7" i="1"/>
  <c r="AE4" i="1"/>
  <c r="Z4" i="1" l="1"/>
  <c r="Y4" i="1"/>
  <c r="AB4" i="1" l="1"/>
  <c r="AK14" i="1"/>
  <c r="AJ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K10" i="1" l="1"/>
  <c r="AH10" i="1"/>
  <c r="AJ10" i="1"/>
  <c r="J10" i="1"/>
  <c r="F10" i="1" l="1"/>
  <c r="L4" i="1" l="1"/>
  <c r="R4" i="1"/>
  <c r="V4" i="1"/>
  <c r="T4" i="1"/>
  <c r="AH4" i="1" l="1"/>
  <c r="AK4" i="1"/>
  <c r="AJ4" i="1"/>
  <c r="J4" i="1"/>
  <c r="I4" i="1"/>
  <c r="H4" i="1"/>
  <c r="G4" i="1"/>
  <c r="F4" i="1"/>
  <c r="AH5" i="1" l="1"/>
  <c r="AK5" i="1"/>
  <c r="AJ5" i="1"/>
  <c r="AK15" i="1" l="1"/>
  <c r="AJ15" i="1"/>
  <c r="AK8" i="1" l="1"/>
  <c r="AJ8" i="1"/>
  <c r="AK6" i="1" l="1"/>
  <c r="AJ6" i="1"/>
  <c r="AH6" i="1"/>
  <c r="AJ12" i="1" l="1"/>
  <c r="AK12" i="1"/>
  <c r="X12" i="1" l="1"/>
  <c r="X8" i="1"/>
  <c r="W8" i="1"/>
  <c r="V8" i="1"/>
  <c r="X5" i="1"/>
  <c r="W5" i="1"/>
  <c r="V5" i="1"/>
  <c r="AE5" i="1" l="1"/>
  <c r="AH8" i="1" l="1"/>
  <c r="AH15" i="1" l="1"/>
  <c r="AH12" i="1"/>
  <c r="AH1" i="1" l="1"/>
  <c r="W12" i="1"/>
  <c r="V12" i="1"/>
  <c r="H12" i="1" l="1"/>
  <c r="L12" i="1"/>
  <c r="T12" i="1" l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8" i="1"/>
  <c r="F27" i="1"/>
  <c r="P10" i="1" s="1"/>
  <c r="J15" i="1"/>
  <c r="F15" i="1"/>
  <c r="G10" i="1" l="1"/>
  <c r="H10" i="1"/>
  <c r="I10" i="1" l="1"/>
  <c r="L10" i="1"/>
  <c r="AE15" i="1" l="1"/>
  <c r="AE1" i="1" s="1"/>
  <c r="U15" i="1"/>
  <c r="Z15" i="1" l="1"/>
  <c r="AA15" i="1" l="1"/>
  <c r="N15" i="1"/>
  <c r="X15" i="1" l="1"/>
  <c r="X1" i="1" s="1"/>
  <c r="W15" i="1"/>
  <c r="W1" i="1" s="1"/>
  <c r="V15" i="1"/>
  <c r="V1" i="1" s="1"/>
  <c r="Y15" i="1"/>
  <c r="Y1" i="1" s="1"/>
  <c r="H15" i="1" l="1"/>
  <c r="O15" i="1" l="1"/>
  <c r="Q15" i="1"/>
  <c r="P15" i="1" l="1"/>
  <c r="AD8" i="1" l="1"/>
  <c r="H8" i="1" l="1"/>
  <c r="T8" i="1" l="1"/>
  <c r="R8" i="1" l="1"/>
  <c r="G8" i="1" l="1"/>
  <c r="I8" i="1"/>
  <c r="L8" i="1" l="1"/>
  <c r="S8" i="1" l="1"/>
  <c r="G11" i="1" l="1"/>
  <c r="H11" i="1"/>
  <c r="I11" i="1" l="1"/>
  <c r="AD16" i="1"/>
  <c r="T16" i="1" l="1"/>
  <c r="H16" i="1" l="1"/>
  <c r="G16" i="1" l="1"/>
  <c r="I16" i="1" l="1"/>
  <c r="L16" i="1"/>
  <c r="Z16" i="1"/>
  <c r="Z1" i="1" s="1"/>
  <c r="AB16" i="1" l="1"/>
  <c r="AB1" i="1" s="1"/>
  <c r="AA16" i="1" l="1"/>
  <c r="AA1" i="1" s="1"/>
  <c r="T15" i="1" l="1"/>
  <c r="R15" i="1" l="1"/>
  <c r="R1" i="1" s="1"/>
  <c r="G15" i="1" l="1"/>
  <c r="I15" i="1" l="1"/>
  <c r="L15" i="1" l="1"/>
  <c r="S15" i="1" l="1"/>
  <c r="S1" i="1" s="1"/>
  <c r="T9" i="1" l="1"/>
  <c r="T1" i="1" s="1"/>
</calcChain>
</file>

<file path=xl/sharedStrings.xml><?xml version="1.0" encoding="utf-8"?>
<sst xmlns="http://schemas.openxmlformats.org/spreadsheetml/2006/main" count="870" uniqueCount="551">
  <si>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</si>
  <si>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</si>
  <si>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</si>
  <si>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</si>
  <si>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</si>
  <si>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</si>
  <si>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</si>
  <si>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</si>
  <si>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</si>
  <si>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</si>
  <si>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</si>
  <si>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</si>
  <si>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</si>
  <si>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</si>
  <si>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</si>
  <si>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</si>
  <si>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</si>
  <si>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</si>
  <si>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</si>
  <si>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</si>
  <si>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</si>
  <si>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</si>
  <si>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</si>
  <si>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</si>
  <si>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</si>
  <si>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</si>
  <si>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</si>
  <si>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</si>
  <si>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</si>
  <si>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</si>
  <si>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</si>
  <si>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</si>
  <si>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</si>
  <si>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</si>
  <si>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</si>
  <si>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</si>
  <si>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</si>
  <si>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</si>
  <si>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</si>
  <si>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</si>
  <si>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</si>
  <si>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</si>
  <si>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</si>
  <si>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</si>
  <si>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</si>
  <si>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</si>
  <si>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</si>
  <si>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</si>
  <si>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</si>
  <si>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</si>
  <si>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</si>
  <si>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</si>
  <si>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</si>
  <si>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</si>
  <si>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</si>
  <si>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</si>
  <si>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</si>
  <si>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</si>
  <si>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</si>
  <si>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</si>
  <si>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</si>
  <si>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</si>
  <si>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</si>
  <si>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</si>
  <si>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</si>
  <si>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</si>
  <si>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</si>
  <si>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</si>
  <si>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</si>
  <si>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</si>
  <si>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</si>
  <si>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</si>
  <si>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</si>
  <si>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</si>
  <si>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</si>
  <si>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</si>
  <si>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</si>
  <si>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</si>
  <si>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</si>
  <si>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</si>
  <si>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</si>
  <si>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</si>
  <si>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</si>
  <si>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</si>
  <si>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</si>
  <si>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</si>
  <si>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</si>
  <si>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</si>
  <si>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</si>
  <si>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</si>
  <si>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</si>
  <si>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</si>
  <si>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</si>
  <si>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</si>
  <si>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</si>
  <si>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</si>
  <si>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</si>
  <si>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</si>
  <si>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</si>
  <si>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</si>
  <si>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</si>
  <si>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</si>
  <si>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</si>
  <si>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</si>
  <si>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</si>
  <si>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</si>
  <si>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</si>
  <si>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</si>
  <si>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</si>
  <si>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</si>
  <si>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</si>
  <si>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</si>
  <si>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</si>
  <si>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</si>
  <si>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</si>
  <si>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</si>
  <si>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</si>
  <si>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</si>
  <si>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</si>
  <si>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</si>
  <si>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</si>
  <si>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</si>
  <si>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</si>
  <si>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</si>
  <si>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</si>
  <si>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</si>
  <si>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</si>
  <si>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</si>
  <si>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</si>
  <si>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</si>
  <si>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</si>
  <si>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</si>
  <si>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</si>
  <si>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</si>
  <si>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</si>
  <si>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</si>
  <si>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</si>
  <si>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</si>
  <si>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</si>
  <si>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</si>
  <si>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</si>
  <si>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</si>
  <si>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</si>
  <si>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</si>
  <si>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</si>
  <si>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</si>
  <si>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</si>
  <si>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</si>
  <si>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</si>
  <si>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</si>
  <si>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</si>
  <si>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</si>
  <si>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</si>
  <si>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</si>
  <si>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</si>
  <si>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</si>
  <si>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</si>
  <si>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</si>
  <si>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</si>
  <si>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</si>
  <si>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</si>
  <si>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</si>
  <si>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</si>
  <si>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</si>
  <si>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</si>
  <si>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</si>
  <si>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</si>
  <si>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</si>
  <si>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</si>
  <si>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</si>
  <si>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</si>
  <si>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</si>
  <si>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</si>
  <si>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</si>
  <si>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</si>
  <si>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</si>
  <si>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</si>
  <si>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</si>
  <si>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</si>
  <si>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</si>
  <si>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</si>
  <si>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</si>
  <si>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</si>
  <si>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</si>
  <si>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</si>
  <si>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</si>
  <si>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</si>
  <si>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</si>
  <si>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</si>
  <si>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</si>
  <si>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</si>
  <si>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</si>
  <si>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</si>
  <si>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</si>
  <si>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</si>
  <si>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</si>
  <si>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</si>
  <si>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</si>
  <si>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</si>
  <si>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</si>
  <si>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</si>
  <si>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</si>
  <si>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</si>
  <si>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</si>
  <si>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</si>
  <si>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</si>
  <si>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</si>
  <si>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</si>
  <si>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</si>
  <si>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</si>
  <si>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</si>
  <si>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</si>
  <si>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</si>
  <si>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</si>
  <si>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</si>
  <si>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</si>
  <si>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</si>
  <si>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</si>
  <si>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</si>
  <si>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</si>
  <si>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</si>
  <si>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</si>
  <si>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</si>
  <si>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</si>
  <si>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</si>
  <si>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</si>
  <si>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</si>
  <si>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</si>
  <si>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</si>
  <si>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</si>
  <si>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</si>
  <si>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</si>
  <si>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</si>
  <si>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</si>
  <si>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</si>
  <si>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</si>
  <si>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</si>
  <si>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</si>
  <si>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</si>
  <si>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</si>
  <si>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</si>
  <si>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</si>
  <si>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</si>
  <si>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</si>
  <si>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</si>
  <si>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</si>
  <si>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</si>
  <si>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</si>
  <si>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</si>
  <si>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</si>
  <si>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</si>
  <si>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</si>
  <si>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</si>
  <si>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</si>
  <si>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</si>
  <si>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</si>
  <si>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</si>
  <si>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</si>
  <si>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</si>
  <si>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</si>
  <si>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</si>
  <si>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</si>
  <si>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</si>
  <si>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</si>
  <si>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</si>
  <si>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</si>
  <si>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</si>
  <si>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</si>
  <si>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</si>
  <si>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</si>
  <si>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</si>
  <si>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</si>
  <si>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</si>
  <si>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</si>
  <si>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</si>
  <si>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</si>
  <si>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</si>
  <si>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</si>
  <si>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</si>
  <si>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</si>
  <si>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</si>
  <si>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</si>
  <si>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</si>
  <si>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</si>
  <si>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</si>
  <si>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</si>
  <si>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</si>
  <si>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</si>
  <si>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</si>
  <si>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</si>
  <si>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</si>
  <si>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</si>
  <si>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</si>
  <si>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</si>
  <si>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</si>
  <si>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</si>
  <si>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</si>
  <si>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</si>
  <si>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</si>
  <si>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</si>
  <si>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</si>
  <si>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</si>
  <si>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</si>
  <si>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</si>
  <si>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</si>
  <si>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</si>
  <si>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</si>
  <si>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</si>
  <si>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</si>
  <si>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</si>
  <si>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</si>
  <si>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</si>
  <si>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</si>
  <si>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</si>
  <si>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</si>
  <si>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</si>
  <si>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</si>
  <si>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</si>
  <si>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</si>
  <si>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</si>
  <si>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</si>
  <si>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</si>
  <si>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</si>
  <si>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</si>
  <si>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</si>
  <si>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</si>
  <si>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</si>
  <si>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</si>
  <si>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</si>
  <si>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</si>
  <si>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</si>
  <si>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</si>
  <si>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</si>
  <si>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</si>
  <si>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</si>
  <si>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</si>
  <si>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</si>
  <si>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</si>
  <si>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</si>
  <si>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</si>
  <si>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</si>
  <si>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</si>
  <si>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</si>
  <si>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</si>
  <si>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</si>
  <si>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</si>
  <si>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</si>
  <si>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</si>
  <si>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</si>
  <si>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</si>
  <si>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</si>
  <si>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</si>
  <si>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</si>
  <si>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</si>
  <si>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</si>
  <si>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</si>
  <si>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</si>
  <si>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</si>
  <si>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</si>
  <si>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</si>
  <si>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</si>
  <si>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</si>
  <si>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</si>
  <si>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</si>
  <si>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</si>
  <si>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</si>
  <si>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</si>
  <si>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</si>
  <si>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</si>
  <si>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</si>
  <si>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</si>
  <si>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</si>
  <si>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</si>
  <si>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</si>
  <si>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</si>
  <si>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</si>
  <si>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</si>
  <si>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</si>
  <si>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</si>
  <si>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</si>
  <si>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</si>
  <si>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</si>
  <si>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</si>
  <si>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</si>
  <si>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</si>
  <si>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</si>
  <si>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</si>
  <si>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</si>
  <si>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</si>
  <si>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</si>
  <si>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</si>
  <si>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</si>
  <si>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</si>
  <si>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</si>
  <si>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</si>
  <si>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</si>
  <si>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</si>
  <si>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</si>
  <si>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</si>
  <si>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</si>
  <si>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</si>
  <si>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</si>
  <si>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</si>
  <si>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</si>
  <si>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</si>
  <si>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</si>
  <si>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</si>
  <si>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</si>
  <si>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</si>
  <si>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</si>
  <si>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</si>
  <si>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</si>
  <si>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</si>
  <si>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</si>
  <si>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</si>
  <si>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</si>
  <si>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</si>
  <si>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</si>
  <si>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</si>
  <si>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</si>
  <si>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</si>
  <si>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</si>
  <si>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</si>
  <si>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</si>
  <si>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</si>
  <si>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</si>
  <si>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</si>
  <si>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</si>
  <si>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</si>
  <si>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</si>
  <si>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</si>
  <si>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</si>
  <si>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</si>
  <si>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</si>
  <si>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</si>
  <si>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</si>
  <si>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</si>
  <si>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</si>
  <si>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</si>
  <si>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</si>
  <si>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</si>
  <si>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</si>
  <si>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</si>
  <si>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</si>
  <si>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</si>
  <si>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</si>
  <si>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</si>
  <si>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</si>
  <si>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</si>
  <si>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</si>
  <si>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</si>
  <si>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</si>
  <si>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</si>
  <si>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</si>
  <si>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</si>
  <si>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</si>
  <si>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</si>
  <si>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</si>
  <si>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</si>
  <si>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</si>
  <si>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</si>
  <si>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</si>
  <si>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</si>
  <si>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</si>
  <si>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</si>
  <si>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</si>
  <si>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</si>
  <si>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</si>
  <si>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</si>
  <si>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</si>
  <si>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</si>
  <si>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</si>
  <si>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</si>
  <si>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</si>
  <si>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</si>
  <si>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</si>
  <si>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</si>
  <si>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</si>
  <si>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</si>
  <si>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</si>
  <si>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</si>
  <si>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</si>
  <si>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</si>
  <si>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</si>
  <si>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</si>
  <si>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</si>
  <si>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</si>
  <si>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</si>
  <si>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</si>
  <si>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</si>
  <si>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</si>
  <si>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</si>
  <si>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</si>
  <si>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</si>
  <si>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</si>
  <si>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</si>
  <si>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</si>
  <si>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</si>
  <si>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</si>
  <si>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</si>
  <si>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</si>
  <si>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</si>
  <si>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</si>
  <si>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</si>
  <si>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</si>
  <si>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</si>
  <si>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</si>
  <si>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</si>
  <si>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</si>
  <si>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</si>
  <si>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</si>
  <si>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</si>
  <si>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</si>
  <si>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</si>
  <si>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</si>
  <si>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</si>
  <si>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</si>
  <si>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</si>
  <si>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</si>
  <si>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</si>
  <si>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</si>
  <si>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</si>
  <si>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</si>
  <si>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</si>
  <si>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</si>
  <si>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</si>
  <si>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</si>
  <si>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</si>
  <si>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</si>
  <si>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</si>
  <si>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</si>
  <si>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</si>
  <si>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</si>
  <si>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</si>
  <si>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</si>
  <si>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</si>
  <si>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</si>
  <si>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</si>
  <si>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</si>
  <si>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Collapsed into administration Nov 2022</t>
  </si>
  <si>
    <t>£BRBY</t>
  </si>
  <si>
    <t>£MUL</t>
  </si>
  <si>
    <t>Mulberry Group Plc</t>
  </si>
  <si>
    <t>Avg Rating</t>
  </si>
  <si>
    <t>Fashion &amp; Home</t>
  </si>
  <si>
    <t>Food, Fashion &amp; Home</t>
  </si>
  <si>
    <t>Luxury Goods</t>
  </si>
  <si>
    <t>Acquired by Authentic Brands Group 2022</t>
  </si>
  <si>
    <t>Online Outlet</t>
  </si>
  <si>
    <t>Sports Fashion</t>
  </si>
  <si>
    <t>Retail Conglomerate, Sports 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</si>
</sst>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  <numFmt numFmtId="170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8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8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69" fontId="1" fillId="12" borderId="0" xfId="0" applyNumberFormat="1" applyFont="1" applyFill="1" applyAlignment="1">
      <alignment horizontal="right"/>
    </xf>
    <xf numFmtId="167" fontId="11" fillId="0" borderId="0" xfId="0" applyNumberFormat="1" applyFont="1" applyFill="1" applyAlignment="1">
      <alignment horizontal="center"/>
    </xf>
    <xf numFmtId="170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7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69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5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6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Fill="1" applyAlignment="1">
      <alignment horizontal="center"/>
    </xf>
    <xf numFmtId="169" fontId="1" fillId="0" borderId="0" xfId="0" applyNumberFormat="1" applyFont="1" applyFill="1"/>
    <xf numFmtId="167" fontId="1" fillId="0" borderId="0" xfId="0" applyNumberFormat="1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168" fontId="1" fillId="6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18.78</v>
          </cell>
        </row>
        <row r="8">
          <cell r="C8">
            <v>947.28198000000009</v>
          </cell>
        </row>
        <row r="11">
          <cell r="C11">
            <v>65.737000000000023</v>
          </cell>
        </row>
        <row r="12">
          <cell r="C12">
            <v>881.54498000000012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734</v>
          </cell>
        </row>
        <row r="27">
          <cell r="C27" t="str">
            <v>Q222</v>
          </cell>
          <cell r="D27">
            <v>44798</v>
          </cell>
        </row>
        <row r="32">
          <cell r="C32">
            <v>-1.1403242455522447</v>
          </cell>
        </row>
        <row r="33">
          <cell r="C33">
            <v>-59.384665735624246</v>
          </cell>
        </row>
        <row r="35">
          <cell r="C35">
            <v>1.4078524676899669</v>
          </cell>
        </row>
        <row r="37">
          <cell r="C37">
            <v>4.2554718831983633</v>
          </cell>
        </row>
        <row r="38">
          <cell r="C38">
            <v>3.3517546100908753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P27">
            <v>0.57868116771892864</v>
          </cell>
        </row>
        <row r="28">
          <cell r="P28">
            <v>-2.721431490353244E-3</v>
          </cell>
        </row>
        <row r="30">
          <cell r="P30">
            <v>-2.0909437566684987E-2</v>
          </cell>
        </row>
        <row r="31">
          <cell r="P31">
            <v>-0.61857707509881543</v>
          </cell>
        </row>
        <row r="41">
          <cell r="P41">
            <v>708.024</v>
          </cell>
        </row>
        <row r="67">
          <cell r="P67">
            <v>0.25868695667632569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  <row r="36">
          <cell r="C36">
            <v>1.6714759317373831</v>
          </cell>
        </row>
      </sheetData>
      <sheetData sheetId="1">
        <row r="19">
          <cell r="S19">
            <v>-86.51600000000002</v>
          </cell>
          <cell r="T19">
            <v>-35.494000000000035</v>
          </cell>
        </row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1.3308</v>
          </cell>
        </row>
        <row r="8">
          <cell r="C8">
            <v>108.96466901759999</v>
          </cell>
        </row>
        <row r="11">
          <cell r="C11">
            <v>8.3000000000000007</v>
          </cell>
        </row>
        <row r="12">
          <cell r="C12">
            <v>100.66466901759999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4.4345669170748829</v>
          </cell>
        </row>
        <row r="35">
          <cell r="C35">
            <v>4.8002056835947062</v>
          </cell>
        </row>
        <row r="37">
          <cell r="C37">
            <v>1.048745611333975</v>
          </cell>
        </row>
        <row r="39">
          <cell r="C39">
            <v>-3.0239089360221629</v>
          </cell>
        </row>
        <row r="42">
          <cell r="C42">
            <v>4.097646421860806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2">
          <cell r="S82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33.08</v>
          </cell>
        </row>
        <row r="8">
          <cell r="C8">
            <v>12824.719039999998</v>
          </cell>
        </row>
        <row r="11">
          <cell r="C11">
            <v>-4666.0349999999999</v>
          </cell>
        </row>
        <row r="12">
          <cell r="C12">
            <v>17490.75404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12.611393343865217</v>
          </cell>
        </row>
        <row r="34">
          <cell r="C34">
            <v>9.3091188772666609</v>
          </cell>
        </row>
        <row r="36">
          <cell r="C36">
            <v>4.156264394115186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3884.3565708599999</v>
          </cell>
        </row>
        <row r="11">
          <cell r="C11">
            <v>-275.20000000000005</v>
          </cell>
        </row>
        <row r="12">
          <cell r="C12">
            <v>4159.5565708599997</v>
          </cell>
        </row>
        <row r="23">
          <cell r="C23" t="str">
            <v>Mansfiled, UK</v>
          </cell>
        </row>
        <row r="24">
          <cell r="C24">
            <v>1982</v>
          </cell>
        </row>
        <row r="26">
          <cell r="C26"/>
        </row>
        <row r="27">
          <cell r="C27">
            <v>1277.5999999999999</v>
          </cell>
        </row>
        <row r="29">
          <cell r="C29" t="str">
            <v>FY22</v>
          </cell>
          <cell r="D29">
            <v>44765</v>
          </cell>
        </row>
        <row r="35">
          <cell r="C35">
            <v>15.120111213935388</v>
          </cell>
        </row>
        <row r="36">
          <cell r="C36">
            <v>0.8656184985037354</v>
          </cell>
        </row>
        <row r="37">
          <cell r="C37">
            <v>2.9683299486932606</v>
          </cell>
        </row>
      </sheetData>
      <sheetData sheetId="1">
        <row r="24">
          <cell r="S24">
            <v>100.99999999999994</v>
          </cell>
          <cell r="T24">
            <v>-77.999999999999801</v>
          </cell>
          <cell r="U24">
            <v>256.89999999999992</v>
          </cell>
        </row>
        <row r="28">
          <cell r="S28">
            <v>6.9018612064075224E-2</v>
          </cell>
          <cell r="T28">
            <v>-8.3918734522666405E-2</v>
          </cell>
          <cell r="U28">
            <v>0.3254903042506827</v>
          </cell>
        </row>
        <row r="31">
          <cell r="U31">
            <v>0.43466588974673792</v>
          </cell>
        </row>
        <row r="32">
          <cell r="U32">
            <v>6.8757413689051639E-2</v>
          </cell>
        </row>
        <row r="33">
          <cell r="U33">
            <v>5.3461802592970245E-2</v>
          </cell>
        </row>
        <row r="34">
          <cell r="U34">
            <v>0.2345053635280096</v>
          </cell>
        </row>
        <row r="76">
          <cell r="U76">
            <v>0.16505562648185301</v>
          </cell>
        </row>
        <row r="78">
          <cell r="U78">
            <v>0.26587309845379059</v>
          </cell>
        </row>
        <row r="87">
          <cell r="U87">
            <v>12.474551050136244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5">
          <cell r="AA95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25.53</v>
          </cell>
        </row>
        <row r="8">
          <cell r="C8">
            <v>2353.2063048</v>
          </cell>
        </row>
        <row r="11">
          <cell r="C11">
            <v>389.041</v>
          </cell>
        </row>
        <row r="12">
          <cell r="C12">
            <v>1964.1653048000001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743.57899999999995</v>
          </cell>
        </row>
        <row r="29">
          <cell r="C29" t="str">
            <v>Q322</v>
          </cell>
          <cell r="D29">
            <v>44887</v>
          </cell>
        </row>
        <row r="34">
          <cell r="C34">
            <v>1.3536691715500138</v>
          </cell>
        </row>
      </sheetData>
      <sheetData sheetId="1">
        <row r="25">
          <cell r="M25">
            <v>0.30377615499736671</v>
          </cell>
        </row>
        <row r="26">
          <cell r="M26">
            <v>4.8766791820982473E-2</v>
          </cell>
        </row>
        <row r="27">
          <cell r="M27">
            <v>3.1676548837834495E-2</v>
          </cell>
        </row>
        <row r="28">
          <cell r="M28">
            <v>0.28811258341459722</v>
          </cell>
        </row>
        <row r="63">
          <cell r="M63">
            <v>0.18573663337601642</v>
          </cell>
        </row>
        <row r="64">
          <cell r="M64">
            <v>6.610282247080157E-2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89">
          <cell r="P89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5.75" thickBot="1" x14ac:dyDescent="0.3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5.75" thickBot="1" x14ac:dyDescent="0.3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9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5.75" thickBot="1" x14ac:dyDescent="0.3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7" customFormat="1" ht="15.75" thickBot="1" x14ac:dyDescent="0.3">
      <c r="A14" s="118" t="s">
        <v>312</v>
      </c>
      <c r="B14" s="119" t="s">
        <v>302</v>
      </c>
      <c r="C14" s="120" t="s">
        <v>31</v>
      </c>
      <c r="D14" s="121" t="s">
        <v>243</v>
      </c>
      <c r="E14" s="122" t="s">
        <v>313</v>
      </c>
      <c r="F14" s="122" t="s">
        <v>314</v>
      </c>
      <c r="G14" s="122">
        <v>17.72</v>
      </c>
      <c r="H14" s="122">
        <v>4.3499999999999996</v>
      </c>
      <c r="I14" s="123">
        <v>1.39</v>
      </c>
      <c r="J14" s="122" t="s">
        <v>315</v>
      </c>
      <c r="K14" s="124">
        <v>0.92459999999999998</v>
      </c>
      <c r="L14" s="125">
        <v>44776</v>
      </c>
      <c r="M14" s="126" t="s">
        <v>316</v>
      </c>
      <c r="N14" s="124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5.75" thickBot="1" x14ac:dyDescent="0.3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5.75" thickBot="1" x14ac:dyDescent="0.3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5.75" thickBot="1" x14ac:dyDescent="0.3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7">
        <v>0.4834</v>
      </c>
      <c r="L38" s="69" t="s">
        <v>54</v>
      </c>
      <c r="M38" s="69" t="s">
        <v>450</v>
      </c>
      <c r="N38" s="67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5.75" thickBot="1" x14ac:dyDescent="0.3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5.75" thickBot="1" x14ac:dyDescent="0.3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5.75" thickBot="1" x14ac:dyDescent="0.3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5.75" thickBot="1" x14ac:dyDescent="0.3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L33"/>
  <sheetViews>
    <sheetView tabSelected="1" zoomScaleNormal="10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AL9" sqref="AL9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9" width="9.140625" style="1"/>
    <col min="20" max="23" width="9.140625" style="4"/>
    <col min="24" max="29" width="9.140625" style="1"/>
    <col min="30" max="30" width="11" style="1" bestFit="1" customWidth="1"/>
    <col min="31" max="33" width="9.140625" style="4"/>
    <col min="34" max="34" width="9.140625" style="1"/>
    <col min="35" max="35" width="11.7109375" style="1" bestFit="1" customWidth="1"/>
    <col min="36" max="36" width="9.140625" style="1"/>
    <col min="37" max="37" width="20.7109375" style="1" bestFit="1" customWidth="1"/>
    <col min="38" max="38" width="36.7109375" style="4" bestFit="1" customWidth="1"/>
    <col min="39" max="16384" width="9.140625" style="1"/>
  </cols>
  <sheetData>
    <row r="1" spans="1:38" x14ac:dyDescent="0.2">
      <c r="D1" s="1"/>
      <c r="F1" s="137" t="s">
        <v>499</v>
      </c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03">
        <f>AVERAGE(R3:R16)</f>
        <v>3.9647010478488456</v>
      </c>
      <c r="S1" s="103">
        <f>AVERAGE(S3:S16)</f>
        <v>13.089040927547591</v>
      </c>
      <c r="T1" s="103">
        <f>AVERAGE(T3:T16)</f>
        <v>2.7626265911113466</v>
      </c>
      <c r="U1" s="87"/>
      <c r="V1" s="116">
        <f t="shared" ref="V1:AB1" si="0">AVERAGE(V3:V16)</f>
        <v>0.16126232154194811</v>
      </c>
      <c r="W1" s="116">
        <f t="shared" si="0"/>
        <v>4.5363007282483075E-2</v>
      </c>
      <c r="X1" s="116">
        <f t="shared" si="0"/>
        <v>0.10365206955102663</v>
      </c>
      <c r="Y1" s="88">
        <f t="shared" si="0"/>
        <v>0.46787879188648185</v>
      </c>
      <c r="Z1" s="88">
        <f t="shared" si="0"/>
        <v>5.1210311162491959E-2</v>
      </c>
      <c r="AA1" s="88">
        <f t="shared" si="0"/>
        <v>3.2851044986440231E-2</v>
      </c>
      <c r="AB1" s="88">
        <f t="shared" si="0"/>
        <v>8.3267322765302784E-2</v>
      </c>
      <c r="AC1" s="87"/>
      <c r="AD1" s="89" t="s">
        <v>537</v>
      </c>
      <c r="AE1" s="88">
        <f>AVERAGE(AE3:AE16)</f>
        <v>0.25991330080014247</v>
      </c>
      <c r="AF1" s="88">
        <f>AVERAGE(AF3:AF16)</f>
        <v>9.2201518020198436E-2</v>
      </c>
      <c r="AG1" s="88">
        <f>AVERAGE(AG3:AG16)</f>
        <v>0.22865249992232137</v>
      </c>
      <c r="AH1" s="90">
        <f>AVERAGE(AH3:AH16)</f>
        <v>666.82189783024887</v>
      </c>
      <c r="AI1" s="131">
        <f>AVERAGE(AI3:AI16)</f>
        <v>3.8410007956855852</v>
      </c>
      <c r="AJ1" s="90"/>
    </row>
    <row r="2" spans="1:38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543</v>
      </c>
      <c r="AJ2" s="5" t="s">
        <v>521</v>
      </c>
      <c r="AK2" s="5" t="s">
        <v>522</v>
      </c>
      <c r="AL2" s="5" t="s">
        <v>538</v>
      </c>
    </row>
    <row r="3" spans="1:38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88.552800000000005</v>
      </c>
      <c r="G3" s="49">
        <f>[1]Main!$C$8*$E$27</f>
        <v>138771.09287999998</v>
      </c>
      <c r="H3" s="49">
        <f>[1]Main!$C$11*$E$27</f>
        <v>2053.7999999999997</v>
      </c>
      <c r="I3" s="49">
        <f>[1]Main!$C$12*$E$27</f>
        <v>136717.29287999999</v>
      </c>
      <c r="J3" s="4" t="str">
        <f>[1]Main!$C$28</f>
        <v>FQ123</v>
      </c>
      <c r="K3" s="85">
        <f>[1]Main!$D$28</f>
        <v>44833</v>
      </c>
      <c r="L3" s="50">
        <f>[1]Main!$C$33</f>
        <v>26.920059874297088</v>
      </c>
      <c r="O3" s="56">
        <f>'[1]Financial Model'!$AD$21*1000*E27</f>
        <v>5078.639999999994</v>
      </c>
      <c r="P3" s="56">
        <f>'[1]Financial Model'!$AC$21*1000*E27</f>
        <v>4810.6799999999985</v>
      </c>
      <c r="Q3" s="56">
        <f>'[1]Financial Model'!$AB$21*1000*E27</f>
        <v>2132.7599999999998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[1]Main!$C$26*E27</f>
        <v>8116.08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J3" s="4">
        <f>[1]Main!$C$24</f>
        <v>1964</v>
      </c>
      <c r="AK3" s="4" t="str">
        <f>[1]Main!$C$23</f>
        <v>Beaverton, OR</v>
      </c>
      <c r="AL3" s="4" t="s">
        <v>549</v>
      </c>
    </row>
    <row r="4" spans="1:38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27.787199999999999</v>
      </c>
      <c r="G4" s="49">
        <f>[2]Main!$C$8*$E$27</f>
        <v>10772.763993599998</v>
      </c>
      <c r="H4" s="49">
        <f>[2]Main!$C$11*$E$27</f>
        <v>-3919.4694</v>
      </c>
      <c r="I4" s="49">
        <f>[2]Main!$C$12*$E$27</f>
        <v>14692.2333936</v>
      </c>
      <c r="J4" s="4" t="str">
        <f>[2]Main!$C$28</f>
        <v>FQ123</v>
      </c>
      <c r="K4" s="85">
        <f>[2]Main!$D$28</f>
        <v>44860</v>
      </c>
      <c r="L4" s="50">
        <f>[2]Main!$C$33</f>
        <v>12.611393343865217</v>
      </c>
      <c r="O4" s="56">
        <f>'[2]Financial Model'!$AA$22*E27</f>
        <v>1164.9968399999991</v>
      </c>
      <c r="P4" s="56">
        <f>'[2]Financial Model'!$Z$22*$E$27</f>
        <v>342.59316000000115</v>
      </c>
      <c r="Q4" s="56">
        <f>'[2]Financial Model'!$Y$22*$E$27</f>
        <v>570.73716000000013</v>
      </c>
      <c r="R4" s="51">
        <f>[2]Main!$C$34</f>
        <v>9.3091188772666609</v>
      </c>
      <c r="T4" s="51">
        <f>[2]Main!$C$36</f>
        <v>4.156264394115186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[2]Main!$C$26*E27</f>
        <v>1966.7718</v>
      </c>
      <c r="AE4" s="53">
        <f>'[2]Financial Model'!$T$76</f>
        <v>0.9241949083593437</v>
      </c>
      <c r="AH4" s="57">
        <f>[2]Main!$C$25</f>
        <v>1297</v>
      </c>
      <c r="AI4" s="57"/>
      <c r="AJ4" s="4">
        <f>[2]Main!$C$24</f>
        <v>1899</v>
      </c>
      <c r="AK4" s="4" t="str">
        <f>[2]Main!$C$23</f>
        <v>Denver, US</v>
      </c>
    </row>
    <row r="5" spans="1:38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57"/>
      <c r="AJ5" s="4">
        <f>[3]Main!$C$24</f>
        <v>1864</v>
      </c>
      <c r="AK5" s="4" t="str">
        <f>[3]Main!$C$23</f>
        <v>Leicester, UK</v>
      </c>
      <c r="AL5" s="4" t="s">
        <v>544</v>
      </c>
    </row>
    <row r="6" spans="1:38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5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57"/>
      <c r="AJ6" s="4">
        <f>[4]Main!$C$24</f>
        <v>1981</v>
      </c>
      <c r="AK6" s="4" t="str">
        <f>[4]Main!$C$23</f>
        <v>Bury, UK</v>
      </c>
      <c r="AL6" s="4" t="s">
        <v>549</v>
      </c>
    </row>
    <row r="7" spans="1:38" s="96" customFormat="1" x14ac:dyDescent="0.2">
      <c r="B7" s="97" t="s">
        <v>526</v>
      </c>
      <c r="C7" s="96" t="s">
        <v>527</v>
      </c>
      <c r="D7" s="98" t="s">
        <v>13</v>
      </c>
      <c r="E7" s="98" t="s">
        <v>15</v>
      </c>
      <c r="F7" s="99">
        <f>[5]Main!$C$6</f>
        <v>8.23</v>
      </c>
      <c r="G7" s="100">
        <f>[5]Main!$C$8</f>
        <v>3884.3565708599999</v>
      </c>
      <c r="H7" s="100">
        <f>[5]Main!$C$11</f>
        <v>-275.20000000000005</v>
      </c>
      <c r="I7" s="100">
        <f>[5]Main!$C$12</f>
        <v>4159.5565708599997</v>
      </c>
      <c r="J7" s="98" t="str">
        <f>[5]Main!$C$29</f>
        <v>FY22</v>
      </c>
      <c r="K7" s="134">
        <f>[5]Main!$D$29</f>
        <v>44765</v>
      </c>
      <c r="L7" s="133">
        <f>[5]Main!$C$36</f>
        <v>0.8656184985037354</v>
      </c>
      <c r="O7" s="96">
        <f>'[5]Financial Model'!$U$24</f>
        <v>256.89999999999992</v>
      </c>
      <c r="P7" s="132">
        <f>'[5]Financial Model'!$T$24</f>
        <v>-77.999999999999801</v>
      </c>
      <c r="Q7" s="55">
        <f>'[5]Financial Model'!$S$24</f>
        <v>100.99999999999994</v>
      </c>
      <c r="R7" s="133">
        <f>[5]Main!$C$35</f>
        <v>15.120111213935388</v>
      </c>
      <c r="S7" s="133">
        <f>'[5]Financial Model'!$U$87</f>
        <v>12.474551050136244</v>
      </c>
      <c r="T7" s="133">
        <f>[5]Main!$C$37</f>
        <v>2.9683299486932606</v>
      </c>
      <c r="U7" s="101"/>
      <c r="V7" s="101">
        <f>'[5]Financial Model'!$U$28</f>
        <v>0.3254903042506827</v>
      </c>
      <c r="W7" s="101">
        <f>'[5]Financial Model'!$T$28</f>
        <v>-8.3918734522666405E-2</v>
      </c>
      <c r="X7" s="101">
        <f>'[5]Financial Model'!$S$28</f>
        <v>6.9018612064075224E-2</v>
      </c>
      <c r="Y7" s="101">
        <f>'[5]Financial Model'!$U$31</f>
        <v>0.43466588974673792</v>
      </c>
      <c r="Z7" s="101">
        <f>'[5]Financial Model'!$U$32</f>
        <v>6.8757413689051639E-2</v>
      </c>
      <c r="AA7" s="101">
        <f>'[5]Financial Model'!$U$33</f>
        <v>5.3461802592970245E-2</v>
      </c>
      <c r="AB7" s="101">
        <f>'[5]Financial Model'!$U$34</f>
        <v>0.2345053635280096</v>
      </c>
      <c r="AD7" s="100">
        <f>[5]Main!$C$27</f>
        <v>1277.5999999999999</v>
      </c>
      <c r="AE7" s="101">
        <f>'[5]Financial Model'!$U$76</f>
        <v>0.16505562648185301</v>
      </c>
      <c r="AF7" s="98"/>
      <c r="AG7" s="101">
        <f>'[5]Financial Model'!$U$78</f>
        <v>0.26587309845379059</v>
      </c>
      <c r="AH7" s="98">
        <f>[5]Main!$C$26</f>
        <v>0</v>
      </c>
      <c r="AI7" s="98"/>
      <c r="AJ7" s="98">
        <f>[5]Main!$C$24</f>
        <v>1982</v>
      </c>
      <c r="AK7" s="98" t="str">
        <f>[5]Main!$C$23</f>
        <v>Mansfiled, UK</v>
      </c>
      <c r="AL7" s="98" t="s">
        <v>550</v>
      </c>
    </row>
    <row r="8" spans="1:38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6.9635999999999987</v>
      </c>
      <c r="G8" s="49">
        <f>[6]Main!$C$8*E27</f>
        <v>3163.7166791999998</v>
      </c>
      <c r="H8" s="49">
        <f>[6]Main!$C$11*$E$27</f>
        <v>151.42680000000007</v>
      </c>
      <c r="I8" s="49">
        <f>[6]Main!$C$12*$E$27</f>
        <v>3012.2898791999996</v>
      </c>
      <c r="J8" s="4" t="str">
        <f>[6]Main!$C$29</f>
        <v>FQ223</v>
      </c>
      <c r="K8" s="85">
        <f>[6]Main!$D$29</f>
        <v>44868</v>
      </c>
      <c r="L8" s="50">
        <f>[6]Main!$C$34</f>
        <v>24.790599499495396</v>
      </c>
      <c r="O8" s="56">
        <f>'[6]Financial Model'!$AA$20*$E$27</f>
        <v>-461.30867999999998</v>
      </c>
      <c r="P8" s="56">
        <f>'[6]Financial Model'!$Z$20*$E$27</f>
        <v>77.399279999999351</v>
      </c>
      <c r="Q8" s="56">
        <f>'[6]Financial Model'!$Y$20*$E$27</f>
        <v>-38.89368000000033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53"/>
      <c r="V8" s="53">
        <f>'[6]Financial Model'!$AA$24</f>
        <v>-0.15045474463142361</v>
      </c>
      <c r="W8" s="53">
        <f>'[6]Financial Model'!$Z$24</f>
        <v>1.4239238540510346E-2</v>
      </c>
      <c r="X8" s="53">
        <f>'[6]Financial Model'!$Y$24</f>
        <v>4.0876132736743287E-2</v>
      </c>
      <c r="Y8" s="53">
        <f>'[6]Financial Model'!$R$30</f>
        <v>0.45354902041762896</v>
      </c>
      <c r="Z8" s="53">
        <f>'[6]Financial Model'!$R$31</f>
        <v>7.5869583864132367E-2</v>
      </c>
      <c r="AA8" s="53">
        <f>'[6]Financial Model'!$R$32</f>
        <v>5.5229575223094414E-2</v>
      </c>
      <c r="AB8" s="53">
        <f>'[6]Financial Model'!$R$33</f>
        <v>0.20212746629846307</v>
      </c>
      <c r="AD8" s="56">
        <f>[6]Main!$C$27*E27</f>
        <v>907.55280000000005</v>
      </c>
      <c r="AE8" s="53">
        <f>'[6]Financial Model'!$R$79</f>
        <v>0.28968415021367022</v>
      </c>
      <c r="AF8" s="53">
        <f>'[6]Financial Model'!$R$80</f>
        <v>0.13204818974134369</v>
      </c>
      <c r="AG8" s="53">
        <f>'[6]Financial Model'!$AA$95</f>
        <v>0.20023255361795636</v>
      </c>
      <c r="AH8" s="57">
        <f>[6]Main!$C$26</f>
        <v>437</v>
      </c>
      <c r="AI8" s="57"/>
      <c r="AJ8" s="4">
        <f>[6]Main!$C$24</f>
        <v>1996</v>
      </c>
      <c r="AK8" s="4" t="str">
        <f>[6]Main!$C$23</f>
        <v>Baltimore, US</v>
      </c>
      <c r="AL8" s="4" t="s">
        <v>549</v>
      </c>
    </row>
    <row r="9" spans="1:38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21.4452</v>
      </c>
      <c r="G9" s="49">
        <f>[7]Main!$C$8*$E$27</f>
        <v>1976.693296032</v>
      </c>
      <c r="H9" s="49">
        <f>[7]Main!$C$11*E27</f>
        <v>326.79444000000001</v>
      </c>
      <c r="I9" s="49">
        <f>[7]Main!$C$12*E27</f>
        <v>1649.8988560319999</v>
      </c>
      <c r="J9" s="98" t="str">
        <f>[7]Main!$C$29</f>
        <v>Q322</v>
      </c>
      <c r="K9" s="85">
        <f>[7]Main!$D$29</f>
        <v>44887</v>
      </c>
      <c r="L9" s="56"/>
      <c r="M9" s="56"/>
      <c r="N9" s="56"/>
      <c r="T9" s="51">
        <f>[7]Main!$C$34</f>
        <v>1.3536691715500138</v>
      </c>
      <c r="U9" s="53"/>
      <c r="Y9" s="53">
        <f>'[7]Financial Model'!$M$25</f>
        <v>0.30377615499736671</v>
      </c>
      <c r="Z9" s="53">
        <f>'[7]Financial Model'!$M$26</f>
        <v>4.8766791820982473E-2</v>
      </c>
      <c r="AA9" s="53">
        <f>'[7]Financial Model'!$M$27</f>
        <v>3.1676548837834495E-2</v>
      </c>
      <c r="AB9" s="53">
        <f>'[7]Financial Model'!$M$28</f>
        <v>0.28811258341459722</v>
      </c>
      <c r="AD9" s="56">
        <f>[7]Main!$C$26*E27</f>
        <v>624.60635999999988</v>
      </c>
      <c r="AE9" s="53">
        <f>'[7]Financial Model'!$M$63</f>
        <v>0.18573663337601642</v>
      </c>
      <c r="AF9" s="53">
        <f>'[7]Financial Model'!$M$64</f>
        <v>6.610282247080157E-2</v>
      </c>
      <c r="AJ9" s="4">
        <f>[7]Main!$C$24</f>
        <v>1970</v>
      </c>
      <c r="AK9" s="4" t="str">
        <f>[7]Main!$C$23</f>
        <v>Philadelphia, PA</v>
      </c>
    </row>
    <row r="10" spans="1:38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10.8528</v>
      </c>
      <c r="G10" s="49">
        <f>[8]Main!$C$8*E27</f>
        <v>1955.5551791999997</v>
      </c>
      <c r="H10" s="49">
        <f>[8]Main!$C$11*$E$27</f>
        <v>-233.77871999999999</v>
      </c>
      <c r="I10" s="49">
        <f>[8]Main!$C$12*$E$27</f>
        <v>2189.3338991999999</v>
      </c>
      <c r="J10" s="4" t="str">
        <f>[8]Main!$C$28</f>
        <v>Q222</v>
      </c>
      <c r="K10" s="85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Model'!$Z$17*E27</f>
        <v>352.48583999999988</v>
      </c>
      <c r="P10" s="56">
        <f>'[8]Financial Model'!$Y$17*F27</f>
        <v>-249.21071428571454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53"/>
      <c r="V10" s="53">
        <f>'[8]Financial Model'!$Z$21</f>
        <v>0.33299379683036578</v>
      </c>
      <c r="X10" s="4"/>
      <c r="Y10" s="53">
        <f>'[8]Financial Model'!$P$24</f>
        <v>0.30883030470969619</v>
      </c>
      <c r="Z10" s="53">
        <f>'[8]Financial Model'!$P$25</f>
        <v>1.1696619047778077E-2</v>
      </c>
      <c r="AA10" s="53">
        <f>'[8]Financial Model'!$P$26</f>
        <v>-3.5443743719347866E-2</v>
      </c>
      <c r="AB10" s="53">
        <f>'[8]Financial Model'!$P$27</f>
        <v>0.10849393290506794</v>
      </c>
      <c r="AD10" s="56">
        <f>[8]Main!$C$26*E27</f>
        <v>577.11864000000003</v>
      </c>
      <c r="AE10" s="53">
        <f>'[8]Financial Model'!$P$72</f>
        <v>0.36452124796676122</v>
      </c>
      <c r="AF10" s="53">
        <f>'[8]Financial Model'!$P$73</f>
        <v>7.2511361970386545E-3</v>
      </c>
      <c r="AG10" s="53">
        <f>'[8]Financial Model'!$P$89</f>
        <v>0.13644925222077642</v>
      </c>
      <c r="AH10" s="57">
        <f>[8]Main!$C$25</f>
        <v>1160</v>
      </c>
      <c r="AI10" s="57"/>
      <c r="AJ10" s="4">
        <f>[8]Main!$C$24</f>
        <v>1977</v>
      </c>
      <c r="AK10" s="4" t="str">
        <f>[8]Main!$C$23</f>
        <v>Pittsburgh, US</v>
      </c>
    </row>
    <row r="11" spans="1:38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4" t="str">
        <f>[9]Main!$C$28</f>
        <v>FY22</v>
      </c>
      <c r="K11" s="85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86">
        <f>'[9]Financial Model'!$T$19</f>
        <v>6.6487661424370348E-3</v>
      </c>
      <c r="V11" s="86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130">
        <f>[9]Main!$C$42</f>
        <v>3.5843551695103639</v>
      </c>
      <c r="AJ11" s="4">
        <f>[9]Main!$C$24</f>
        <v>2000</v>
      </c>
      <c r="AK11" s="84" t="str">
        <f>[9]Main!$C$23</f>
        <v>London, UK</v>
      </c>
      <c r="AL11" s="4" t="s">
        <v>548</v>
      </c>
    </row>
    <row r="12" spans="1:38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15.7752</v>
      </c>
      <c r="G12" s="49">
        <f>[10]Main!$C$8*E27</f>
        <v>795.71686320000003</v>
      </c>
      <c r="H12" s="49">
        <f>[10]Main!$C$11*E27</f>
        <v>55.219080000000019</v>
      </c>
      <c r="I12" s="49">
        <f>[10]Main!$C$12*E27</f>
        <v>740.49778320000007</v>
      </c>
      <c r="J12" s="4" t="str">
        <f>[10]Main!$C$27</f>
        <v>Q222</v>
      </c>
      <c r="K12" s="85">
        <f>[10]Main!$D$27</f>
        <v>44798</v>
      </c>
      <c r="L12" s="50">
        <f>[10]Main!$C$32</f>
        <v>-1.1403242455522447</v>
      </c>
      <c r="M12" s="50">
        <f>[10]Main!$C$38</f>
        <v>3.3517546100908753</v>
      </c>
      <c r="N12" s="50"/>
      <c r="O12" s="56">
        <f>'[10]Financial Model'!$X$18*E27</f>
        <v>220.92839999999975</v>
      </c>
      <c r="P12" s="56">
        <f>'[10]Financial Model'!$W$18*$E$27</f>
        <v>-95.777640000000133</v>
      </c>
      <c r="Q12" s="56">
        <f>'[10]Financial Model'!$V$18*$E$27</f>
        <v>33.060720000000515</v>
      </c>
      <c r="R12" s="52">
        <f>[10]Main!$C$33</f>
        <v>-59.384665735624246</v>
      </c>
      <c r="S12" s="52">
        <f>[10]Main!$C$37</f>
        <v>4.2554718831983633</v>
      </c>
      <c r="T12" s="52">
        <f>[10]Main!$C$35</f>
        <v>1.4078524676899669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Model'!$P$27</f>
        <v>0.57868116771892864</v>
      </c>
      <c r="Z12" s="53">
        <f>'[10]Financial Model'!$P$28</f>
        <v>-2.721431490353244E-3</v>
      </c>
      <c r="AA12" s="53">
        <f>'[10]Financial Model'!$P$30</f>
        <v>-2.0909437566684987E-2</v>
      </c>
      <c r="AB12" s="53">
        <f>'[10]Financial Model'!$P$31</f>
        <v>-0.61857707509881543</v>
      </c>
      <c r="AD12" s="56">
        <f>'[10]Financial Model'!$P$41*E27</f>
        <v>594.74015999999995</v>
      </c>
      <c r="AE12" s="53">
        <f>'[10]Financial Model'!$X$69</f>
        <v>-0.25498478543021663</v>
      </c>
      <c r="AF12" s="53">
        <f>'[10]Financial Model'!$P$67</f>
        <v>0.25868695667632569</v>
      </c>
      <c r="AH12" s="57">
        <f>[10]Main!$C$25</f>
        <v>734</v>
      </c>
      <c r="AI12" s="57"/>
      <c r="AJ12" s="4">
        <f>[10]Main!$C$24</f>
        <v>1892</v>
      </c>
      <c r="AK12" s="4" t="str">
        <f>[10]Main!$C$23</f>
        <v>Ohio, US</v>
      </c>
    </row>
    <row r="13" spans="1:38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5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>
        <f>'[6]Financial Model'!$Y$24</f>
        <v>4.0876132736743287E-2</v>
      </c>
      <c r="AI13" s="53"/>
      <c r="AJ13" s="4">
        <f>[11]Main!$C$24</f>
        <v>2006</v>
      </c>
      <c r="AK13" s="4" t="str">
        <f>[11]Main!$C$23</f>
        <v>Manchester, UK</v>
      </c>
      <c r="AL13" s="4" t="s">
        <v>548</v>
      </c>
    </row>
    <row r="14" spans="1:38" s="108" customFormat="1" x14ac:dyDescent="0.2">
      <c r="B14" s="109" t="s">
        <v>391</v>
      </c>
      <c r="C14" s="108" t="s">
        <v>392</v>
      </c>
      <c r="D14" s="110" t="s">
        <v>13</v>
      </c>
      <c r="E14" s="110" t="s">
        <v>15</v>
      </c>
      <c r="F14" s="111">
        <f>[12]Main!$C$6</f>
        <v>1.0900000000000001</v>
      </c>
      <c r="G14" s="112">
        <f>[12]Main!$C$8</f>
        <v>201.23580000000001</v>
      </c>
      <c r="H14" s="113">
        <f>[12]Main!$C$11</f>
        <v>14.5</v>
      </c>
      <c r="I14" s="113">
        <f>[12]Main!$C$12</f>
        <v>186.73580000000001</v>
      </c>
      <c r="J14" s="110" t="str">
        <f>[12]Main!$C$28</f>
        <v>FY22</v>
      </c>
      <c r="K14" s="110"/>
      <c r="O14" s="115">
        <f>'[12]Financial Model'!$T$19</f>
        <v>-35.494000000000035</v>
      </c>
      <c r="P14" s="115">
        <f>'[12]Financial Model'!$S$19</f>
        <v>-86.51600000000002</v>
      </c>
      <c r="Q14" s="110"/>
      <c r="T14" s="138">
        <f>[12]Main!$C$36</f>
        <v>1.6714759317373831</v>
      </c>
      <c r="U14" s="114"/>
      <c r="V14" s="114">
        <f>'[12]Financial Model'!$T$23</f>
        <v>0.20588400900900905</v>
      </c>
      <c r="W14" s="110"/>
      <c r="X14" s="110"/>
      <c r="Y14" s="114">
        <f>'[12]Financial Model'!$T$26</f>
        <v>0.55486890948567691</v>
      </c>
      <c r="Z14" s="114">
        <f>'[12]Financial Model'!$T$27</f>
        <v>-8.0487007680993719E-2</v>
      </c>
      <c r="AA14" s="114">
        <f>'[12]Financial Model'!$T$28</f>
        <v>-8.2866014521513875E-2</v>
      </c>
      <c r="AB14" s="114">
        <f>'[12]Financial Model'!$T$29</f>
        <v>0.19258416742493159</v>
      </c>
      <c r="AD14" s="115">
        <f>[12]Main!$C$26</f>
        <v>103.071</v>
      </c>
      <c r="AE14" s="114">
        <f>'[12]Financial Model'!$T$74</f>
        <v>0.17328795191694746</v>
      </c>
      <c r="AF14" s="110"/>
      <c r="AG14" s="114">
        <f>'[12]Financial Model'!$T$76</f>
        <v>0.24063455746737328</v>
      </c>
      <c r="AH14" s="110">
        <f>[12]Main!$C$25</f>
        <v>85</v>
      </c>
      <c r="AI14" s="110"/>
      <c r="AJ14" s="110">
        <f>[12]Main!$C$24</f>
        <v>1987</v>
      </c>
      <c r="AK14" s="110" t="str">
        <f>[12]Main!$C$23</f>
        <v>London, UK</v>
      </c>
      <c r="AL14" s="110" t="s">
        <v>547</v>
      </c>
    </row>
    <row r="15" spans="1:38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1.3308</v>
      </c>
      <c r="G15" s="49">
        <f>[13]Main!$C$8</f>
        <v>108.96466901759999</v>
      </c>
      <c r="H15" s="49">
        <f>[13]Main!$C$11</f>
        <v>8.3000000000000007</v>
      </c>
      <c r="I15" s="49">
        <f>[13]Main!$C$12</f>
        <v>100.66466901759999</v>
      </c>
      <c r="J15" s="4" t="str">
        <f>[13]Main!$C$29</f>
        <v>FY22</v>
      </c>
      <c r="K15" s="85">
        <f>[13]Main!$D$29</f>
        <v>44841</v>
      </c>
      <c r="L15" s="50">
        <f>[13]Main!$C$34</f>
        <v>4.4345669170748829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4.8002056835947062</v>
      </c>
      <c r="S15" s="51">
        <f>[13]Main!$C$39</f>
        <v>-3.0239089360221629</v>
      </c>
      <c r="T15" s="51">
        <f>[13]Main!$C$37</f>
        <v>1.048745611333975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130">
        <f>[13]Main!$C$42</f>
        <v>4.097646421860806</v>
      </c>
      <c r="AJ15" s="4">
        <f>[13]Main!$C$25</f>
        <v>1985</v>
      </c>
      <c r="AK15" s="4" t="str">
        <f>[13]Main!$C$24</f>
        <v>Cheltenham, UK</v>
      </c>
    </row>
    <row r="16" spans="1:38" s="91" customFormat="1" x14ac:dyDescent="0.2">
      <c r="B16" s="92" t="s">
        <v>445</v>
      </c>
      <c r="C16" s="91" t="s">
        <v>446</v>
      </c>
      <c r="D16" s="93" t="s">
        <v>489</v>
      </c>
      <c r="E16" s="93" t="s">
        <v>15</v>
      </c>
      <c r="F16" s="104">
        <f>[14]Main!$C$6</f>
        <v>9.2200000000000004E-2</v>
      </c>
      <c r="G16" s="102">
        <f>[14]Main!$C$8</f>
        <v>10.16966</v>
      </c>
      <c r="H16" s="102">
        <f>[14]Main!$C$11</f>
        <v>-6.5050000000000026</v>
      </c>
      <c r="I16" s="102">
        <f>[14]Main!$C$12</f>
        <v>16.674660000000003</v>
      </c>
      <c r="J16" s="105" t="str">
        <f>[14]Main!$C$28</f>
        <v>H122</v>
      </c>
      <c r="K16" s="106">
        <f>[14]Main!$D$28</f>
        <v>44600</v>
      </c>
      <c r="L16" s="128">
        <f>[14]Main!$C$36</f>
        <v>8.2793743793445529</v>
      </c>
      <c r="M16" s="95"/>
      <c r="N16" s="95"/>
      <c r="O16" s="95">
        <f>'[14]Financial Model'!$S$15</f>
        <v>0.89299999999999291</v>
      </c>
      <c r="P16" s="95">
        <f>'[14]Financial Model'!$R$15</f>
        <v>-20.27600000000001</v>
      </c>
      <c r="R16" s="107">
        <f>[14]Main!$C$37</f>
        <v>5.0560966752336345</v>
      </c>
      <c r="S16" s="107">
        <f>'[14]Financial Model'!$S$80</f>
        <v>3.3990470378499706</v>
      </c>
      <c r="T16" s="107">
        <f>[14]Main!$C$33</f>
        <v>0.20742534761796225</v>
      </c>
      <c r="U16" s="93"/>
      <c r="V16" s="94">
        <f>'[14]Financial Model'!$S$19</f>
        <v>4.2969896440400834E-2</v>
      </c>
      <c r="W16" s="93"/>
      <c r="Y16" s="94">
        <f>'[14]Financial Model'!$K$22</f>
        <v>0.50353090223741115</v>
      </c>
      <c r="Z16" s="94">
        <f>'[14]Financial Model'!$K$23</f>
        <v>2.5932384981739429E-2</v>
      </c>
      <c r="AA16" s="94">
        <f>'[14]Financial Model'!$K$24</f>
        <v>1.7767906718489747E-2</v>
      </c>
      <c r="AB16" s="94">
        <f>'[14]Financial Model'!$K$25</f>
        <v>0.10901960784313716</v>
      </c>
      <c r="AD16" s="95">
        <f>[14]Main!$C$26</f>
        <v>61.878</v>
      </c>
      <c r="AE16" s="94">
        <f>'[14]Financial Model'!$K$66</f>
        <v>0.44899775196702874</v>
      </c>
      <c r="AF16" s="94">
        <f>'[14]Financial Model'!$K$67</f>
        <v>0.32717055593685651</v>
      </c>
      <c r="AG16" s="94">
        <f>'[14]Financial Model'!$S$82</f>
        <v>0.23428321616827549</v>
      </c>
      <c r="AJ16" s="93">
        <f>[14]Main!$C$24</f>
        <v>1989</v>
      </c>
      <c r="AK16" s="91" t="str">
        <f>[14]Main!$C$23</f>
        <v>Market Harborough, UK</v>
      </c>
      <c r="AL16" s="93" t="s">
        <v>539</v>
      </c>
    </row>
    <row r="17" spans="2:38" x14ac:dyDescent="0.2">
      <c r="B17" s="3"/>
      <c r="F17" s="7"/>
      <c r="G17" s="49"/>
      <c r="H17" s="49"/>
      <c r="I17" s="49"/>
      <c r="L17" s="50"/>
      <c r="R17" s="51"/>
      <c r="S17" s="51"/>
      <c r="T17" s="51"/>
      <c r="U17" s="51"/>
      <c r="V17" s="53"/>
      <c r="W17" s="53"/>
      <c r="X17" s="53"/>
      <c r="Y17" s="53"/>
      <c r="Z17" s="53"/>
      <c r="AA17" s="53"/>
      <c r="AB17" s="53"/>
      <c r="AD17" s="55"/>
      <c r="AE17" s="53"/>
      <c r="AH17" s="57"/>
      <c r="AI17" s="57"/>
      <c r="AJ17" s="4"/>
      <c r="AK17" s="4"/>
    </row>
    <row r="18" spans="2:38" x14ac:dyDescent="0.2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L18" s="56"/>
      <c r="M18" s="5"/>
      <c r="N18" s="5"/>
      <c r="AL18" s="4" t="s">
        <v>545</v>
      </c>
    </row>
    <row r="19" spans="2:38" x14ac:dyDescent="0.2">
      <c r="B19" s="1" t="s">
        <v>214</v>
      </c>
      <c r="C19" s="1" t="s">
        <v>488</v>
      </c>
      <c r="D19" s="4" t="s">
        <v>489</v>
      </c>
      <c r="E19" s="4" t="s">
        <v>15</v>
      </c>
      <c r="F19" s="7"/>
      <c r="G19" s="49"/>
      <c r="H19" s="49"/>
      <c r="I19" s="4"/>
      <c r="J19" s="1"/>
      <c r="K19" s="1"/>
      <c r="L19" s="56"/>
      <c r="M19" s="56"/>
      <c r="N19" s="56"/>
    </row>
    <row r="20" spans="2:38" x14ac:dyDescent="0.2">
      <c r="B20" s="1" t="s">
        <v>503</v>
      </c>
      <c r="C20" s="1" t="s">
        <v>504</v>
      </c>
      <c r="D20" s="4" t="s">
        <v>489</v>
      </c>
      <c r="G20" s="49"/>
      <c r="H20" s="49"/>
      <c r="I20" s="84"/>
      <c r="J20" s="1"/>
      <c r="K20" s="1"/>
      <c r="L20" s="56"/>
      <c r="M20" s="56"/>
      <c r="N20" s="56"/>
    </row>
    <row r="21" spans="2:38" x14ac:dyDescent="0.2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8" x14ac:dyDescent="0.2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  <c r="AL22" s="4" t="s">
        <v>546</v>
      </c>
    </row>
    <row r="23" spans="2:38" x14ac:dyDescent="0.2">
      <c r="B23" s="3" t="s">
        <v>540</v>
      </c>
      <c r="C23" s="1" t="s">
        <v>260</v>
      </c>
      <c r="D23" s="4" t="s">
        <v>489</v>
      </c>
      <c r="E23" s="4" t="s">
        <v>15</v>
      </c>
      <c r="F23" s="54">
        <f>[15]Main!$C$6</f>
        <v>20.806000000000001</v>
      </c>
      <c r="G23" s="49">
        <f>[15]Main!$C$8</f>
        <v>8041.1028800000004</v>
      </c>
      <c r="I23" s="84">
        <f>[15]Main!$C$12</f>
        <v>8041.1028800000004</v>
      </c>
      <c r="J23" s="1"/>
      <c r="K23" s="1"/>
      <c r="M23" s="56"/>
      <c r="N23" s="56"/>
      <c r="AJ23" s="4">
        <f>[15]Main!$C$24</f>
        <v>1856</v>
      </c>
      <c r="AK23" s="4" t="str">
        <f>[15]Main!$C$23</f>
        <v>London, UK</v>
      </c>
      <c r="AL23" s="4" t="s">
        <v>546</v>
      </c>
    </row>
    <row r="24" spans="2:38" x14ac:dyDescent="0.2">
      <c r="B24" s="1" t="s">
        <v>541</v>
      </c>
      <c r="C24" s="1" t="s">
        <v>542</v>
      </c>
      <c r="D24" s="4" t="s">
        <v>489</v>
      </c>
      <c r="E24" s="4" t="s">
        <v>15</v>
      </c>
      <c r="F24" s="7">
        <v>2.9</v>
      </c>
      <c r="G24" s="49"/>
      <c r="I24" s="4"/>
      <c r="J24" s="1"/>
      <c r="K24" s="1"/>
      <c r="M24" s="56"/>
      <c r="N24" s="56"/>
      <c r="AL24" s="4" t="s">
        <v>546</v>
      </c>
    </row>
    <row r="25" spans="2:38" x14ac:dyDescent="0.2">
      <c r="G25" s="49"/>
      <c r="I25" s="4"/>
      <c r="J25" s="1"/>
      <c r="K25" s="1"/>
      <c r="M25" s="56"/>
      <c r="N25" s="56"/>
    </row>
    <row r="26" spans="2:38" x14ac:dyDescent="0.2">
      <c r="D26" s="135" t="s">
        <v>495</v>
      </c>
      <c r="E26" s="136"/>
      <c r="F26" s="42" t="s">
        <v>496</v>
      </c>
      <c r="G26" s="49"/>
      <c r="I26" s="4"/>
      <c r="J26" s="1"/>
      <c r="K26" s="1"/>
    </row>
    <row r="27" spans="2:38" x14ac:dyDescent="0.2">
      <c r="D27" s="43" t="s">
        <v>497</v>
      </c>
      <c r="E27" s="44">
        <v>0.84</v>
      </c>
      <c r="F27" s="45">
        <f>1/E27</f>
        <v>1.1904761904761905</v>
      </c>
      <c r="G27" s="49"/>
      <c r="I27" s="4"/>
      <c r="J27" s="1"/>
      <c r="K27" s="1"/>
    </row>
    <row r="28" spans="2:38" x14ac:dyDescent="0.2">
      <c r="D28" s="46" t="s">
        <v>498</v>
      </c>
      <c r="E28" s="48">
        <v>0.87</v>
      </c>
      <c r="F28" s="47">
        <f>1/E28</f>
        <v>1.1494252873563218</v>
      </c>
      <c r="G28" s="49"/>
      <c r="I28" s="4"/>
      <c r="J28" s="1"/>
      <c r="K28" s="1"/>
    </row>
    <row r="29" spans="2:38" x14ac:dyDescent="0.2">
      <c r="G29" s="49"/>
    </row>
    <row r="30" spans="2:38" x14ac:dyDescent="0.2">
      <c r="G30" s="49"/>
    </row>
    <row r="31" spans="2:38" x14ac:dyDescent="0.2">
      <c r="G31" s="49"/>
    </row>
    <row r="32" spans="2:38" x14ac:dyDescent="0.2">
      <c r="G32" s="49"/>
    </row>
    <row r="33" spans="7:7" x14ac:dyDescent="0.2">
      <c r="G33" s="49"/>
    </row>
  </sheetData>
  <mergeCells count="2">
    <mergeCell ref="D26:E26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3" r:id="rId15" xr:uid="{CA134008-3168-4DEA-918C-4560BFF458AB}"/>
  </hyperlinks>
  <pageMargins left="0.7" right="0.7" top="0.75" bottom="0.75" header="0.3" footer="0.3"/>
  <pageSetup paperSize="256" orientation="portrait" horizontalDpi="203" verticalDpi="203" r:id="rId16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2022-11-22T19:57:17Z</dcterms:modified>
</cp:coreProperties>
</file>