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F7CE09FC-D823-40F2-8ED2-45B693704670}" xr6:coauthVersionLast="36" xr6:coauthVersionMax="47" xr10:uidLastSave="{00000000-0000-0000-0000-000000000000}"/>
  <bookViews>
    <workbookView xWindow="0" yWindow="495" windowWidth="33075" windowHeight="18480" xr2:uid="{E05933DB-826C-48C0-AE9A-F8A61FB6D502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C35" i="1"/>
  <c r="C32" i="1"/>
  <c r="C34" i="1"/>
  <c r="U74" i="2" l="1"/>
  <c r="T74" i="2"/>
  <c r="S74" i="2"/>
  <c r="R74" i="2"/>
  <c r="V74" i="2"/>
  <c r="U73" i="2"/>
  <c r="T73" i="2"/>
  <c r="S73" i="2"/>
  <c r="R73" i="2"/>
  <c r="V73" i="2"/>
  <c r="U72" i="2"/>
  <c r="T72" i="2"/>
  <c r="S72" i="2"/>
  <c r="R72" i="2"/>
  <c r="V72" i="2"/>
  <c r="U71" i="2"/>
  <c r="T71" i="2"/>
  <c r="S71" i="2"/>
  <c r="R71" i="2"/>
  <c r="V71" i="2"/>
  <c r="T69" i="2"/>
  <c r="S69" i="2"/>
  <c r="R69" i="2"/>
  <c r="U68" i="2"/>
  <c r="U69" i="2" s="1"/>
  <c r="T68" i="2"/>
  <c r="S68" i="2"/>
  <c r="R68" i="2"/>
  <c r="V69" i="2"/>
  <c r="V68" i="2"/>
  <c r="J57" i="2" l="1"/>
  <c r="J48" i="2"/>
  <c r="J43" i="2"/>
  <c r="J64" i="2" s="1"/>
  <c r="J54" i="2"/>
  <c r="J53" i="2"/>
  <c r="J52" i="2"/>
  <c r="J51" i="2"/>
  <c r="J50" i="2"/>
  <c r="J49" i="2"/>
  <c r="J46" i="2"/>
  <c r="J45" i="2"/>
  <c r="J44" i="2"/>
  <c r="J42" i="2"/>
  <c r="J41" i="2"/>
  <c r="J38" i="2"/>
  <c r="J37" i="2"/>
  <c r="J63" i="2" s="1"/>
  <c r="J36" i="2"/>
  <c r="J35" i="2"/>
  <c r="J33" i="2"/>
  <c r="J32" i="2"/>
  <c r="J31" i="2"/>
  <c r="J30" i="2"/>
  <c r="J29" i="2"/>
  <c r="J28" i="2"/>
  <c r="J34" i="2" s="1"/>
  <c r="C10" i="1"/>
  <c r="C9" i="1"/>
  <c r="V64" i="2"/>
  <c r="V63" i="2"/>
  <c r="V65" i="2" s="1"/>
  <c r="V55" i="2"/>
  <c r="V58" i="2" s="1"/>
  <c r="V47" i="2"/>
  <c r="V28" i="2"/>
  <c r="V34" i="2" s="1"/>
  <c r="V39" i="2" s="1"/>
  <c r="V60" i="2" s="1"/>
  <c r="V61" i="2" s="1"/>
  <c r="J2" i="2"/>
  <c r="J12" i="2"/>
  <c r="J10" i="2"/>
  <c r="J9" i="2"/>
  <c r="J7" i="2"/>
  <c r="J15" i="2"/>
  <c r="J5" i="2"/>
  <c r="J4" i="2"/>
  <c r="J23" i="2" s="1"/>
  <c r="V22" i="2"/>
  <c r="V6" i="2"/>
  <c r="V8" i="2" s="1"/>
  <c r="J65" i="2" l="1"/>
  <c r="J6" i="2"/>
  <c r="J17" i="2" s="1"/>
  <c r="J47" i="2"/>
  <c r="J55" i="2"/>
  <c r="J58" i="2" s="1"/>
  <c r="J39" i="2"/>
  <c r="J60" i="2" s="1"/>
  <c r="J61" i="2" s="1"/>
  <c r="J8" i="2"/>
  <c r="V18" i="2"/>
  <c r="V11" i="2"/>
  <c r="V17" i="2"/>
  <c r="F57" i="2"/>
  <c r="F53" i="2"/>
  <c r="F52" i="2"/>
  <c r="F51" i="2"/>
  <c r="F50" i="2"/>
  <c r="F49" i="2"/>
  <c r="F46" i="2"/>
  <c r="F45" i="2"/>
  <c r="F44" i="2"/>
  <c r="F42" i="2"/>
  <c r="F41" i="2"/>
  <c r="F38" i="2"/>
  <c r="F48" i="2"/>
  <c r="F43" i="2"/>
  <c r="F37" i="2"/>
  <c r="F36" i="2"/>
  <c r="F35" i="2"/>
  <c r="F33" i="2"/>
  <c r="F32" i="2"/>
  <c r="F31" i="2"/>
  <c r="F30" i="2"/>
  <c r="F29" i="2"/>
  <c r="R64" i="2"/>
  <c r="R63" i="2"/>
  <c r="S64" i="2"/>
  <c r="S63" i="2"/>
  <c r="T64" i="2"/>
  <c r="T63" i="2"/>
  <c r="U64" i="2"/>
  <c r="U63" i="2"/>
  <c r="R47" i="2"/>
  <c r="S47" i="2"/>
  <c r="R28" i="2"/>
  <c r="R34" i="2" s="1"/>
  <c r="R39" i="2" s="1"/>
  <c r="S28" i="2"/>
  <c r="S34" i="2" s="1"/>
  <c r="S39" i="2" s="1"/>
  <c r="T47" i="2"/>
  <c r="T28" i="2"/>
  <c r="F28" i="2" s="1"/>
  <c r="U47" i="2"/>
  <c r="U28" i="2"/>
  <c r="U34" i="2" s="1"/>
  <c r="U39" i="2" s="1"/>
  <c r="H12" i="2"/>
  <c r="H10" i="2"/>
  <c r="H9" i="2"/>
  <c r="H7" i="2"/>
  <c r="H5" i="2"/>
  <c r="H4" i="2"/>
  <c r="I23" i="2" s="1"/>
  <c r="D12" i="2"/>
  <c r="D10" i="2"/>
  <c r="D9" i="2"/>
  <c r="D7" i="2"/>
  <c r="D5" i="2"/>
  <c r="D4" i="2"/>
  <c r="E23" i="2" s="1"/>
  <c r="F12" i="2"/>
  <c r="F10" i="2"/>
  <c r="F9" i="2"/>
  <c r="F7" i="2"/>
  <c r="F5" i="2"/>
  <c r="F4" i="2"/>
  <c r="D3" i="2"/>
  <c r="H3" i="2"/>
  <c r="F2" i="2"/>
  <c r="D15" i="2"/>
  <c r="F15" i="2"/>
  <c r="H15" i="2"/>
  <c r="T22" i="2"/>
  <c r="S22" i="2"/>
  <c r="R6" i="2"/>
  <c r="R17" i="2" s="1"/>
  <c r="S6" i="2"/>
  <c r="S17" i="2" s="1"/>
  <c r="U22" i="2"/>
  <c r="T6" i="2"/>
  <c r="T8" i="2" s="1"/>
  <c r="U6" i="2"/>
  <c r="U17" i="2" s="1"/>
  <c r="D64" i="2"/>
  <c r="D63" i="2"/>
  <c r="D47" i="2"/>
  <c r="D28" i="2"/>
  <c r="D34" i="2" s="1"/>
  <c r="D39" i="2" s="1"/>
  <c r="C64" i="2"/>
  <c r="C63" i="2"/>
  <c r="C65" i="2" s="1"/>
  <c r="E64" i="2"/>
  <c r="E63" i="2"/>
  <c r="E65" i="2" s="1"/>
  <c r="C47" i="2"/>
  <c r="E47" i="2"/>
  <c r="C28" i="2"/>
  <c r="C34" i="2" s="1"/>
  <c r="C39" i="2" s="1"/>
  <c r="E28" i="2"/>
  <c r="E34" i="2" s="1"/>
  <c r="E39" i="2" s="1"/>
  <c r="E22" i="2"/>
  <c r="G22" i="2"/>
  <c r="C6" i="2"/>
  <c r="C8" i="2" s="1"/>
  <c r="C11" i="2" s="1"/>
  <c r="E6" i="2"/>
  <c r="E8" i="2" s="1"/>
  <c r="C55" i="2" l="1"/>
  <c r="C58" i="2" s="1"/>
  <c r="U55" i="2"/>
  <c r="U58" i="2" s="1"/>
  <c r="J22" i="2"/>
  <c r="T55" i="2"/>
  <c r="T58" i="2" s="1"/>
  <c r="D60" i="2"/>
  <c r="D61" i="2" s="1"/>
  <c r="D55" i="2"/>
  <c r="D58" i="2" s="1"/>
  <c r="S55" i="2"/>
  <c r="S58" i="2" s="1"/>
  <c r="E55" i="2"/>
  <c r="E58" i="2" s="1"/>
  <c r="R55" i="2"/>
  <c r="R60" i="2" s="1"/>
  <c r="R61" i="2" s="1"/>
  <c r="J18" i="2"/>
  <c r="J11" i="2"/>
  <c r="F34" i="2"/>
  <c r="H23" i="2"/>
  <c r="U65" i="2"/>
  <c r="E60" i="2"/>
  <c r="E61" i="2" s="1"/>
  <c r="C60" i="2"/>
  <c r="C61" i="2" s="1"/>
  <c r="F22" i="2"/>
  <c r="S65" i="2"/>
  <c r="F47" i="2"/>
  <c r="F55" i="2" s="1"/>
  <c r="D23" i="2"/>
  <c r="F63" i="2"/>
  <c r="V20" i="2"/>
  <c r="V13" i="2"/>
  <c r="F64" i="2"/>
  <c r="C13" i="2"/>
  <c r="C14" i="2" s="1"/>
  <c r="C20" i="2"/>
  <c r="F39" i="2"/>
  <c r="U8" i="2"/>
  <c r="F23" i="2"/>
  <c r="T34" i="2"/>
  <c r="T39" i="2" s="1"/>
  <c r="D65" i="2"/>
  <c r="D6" i="2"/>
  <c r="D8" i="2" s="1"/>
  <c r="T65" i="2"/>
  <c r="R65" i="2"/>
  <c r="F58" i="2"/>
  <c r="E11" i="2"/>
  <c r="E18" i="2"/>
  <c r="T11" i="2"/>
  <c r="T18" i="2"/>
  <c r="R8" i="2"/>
  <c r="T17" i="2"/>
  <c r="S8" i="2"/>
  <c r="F6" i="2"/>
  <c r="F17" i="2" s="1"/>
  <c r="C17" i="2"/>
  <c r="C18" i="2"/>
  <c r="E17" i="2"/>
  <c r="G23" i="2"/>
  <c r="H6" i="2"/>
  <c r="H8" i="2" s="1"/>
  <c r="H22" i="2"/>
  <c r="R58" i="2" l="1"/>
  <c r="U60" i="2"/>
  <c r="U61" i="2" s="1"/>
  <c r="S60" i="2"/>
  <c r="S61" i="2" s="1"/>
  <c r="T60" i="2"/>
  <c r="T61" i="2" s="1"/>
  <c r="J13" i="2"/>
  <c r="J20" i="2"/>
  <c r="V19" i="2"/>
  <c r="V14" i="2"/>
  <c r="F8" i="2"/>
  <c r="F11" i="2" s="1"/>
  <c r="F13" i="2" s="1"/>
  <c r="F14" i="2" s="1"/>
  <c r="C19" i="2"/>
  <c r="F65" i="2"/>
  <c r="D11" i="2"/>
  <c r="D18" i="2"/>
  <c r="F60" i="2"/>
  <c r="F61" i="2" s="1"/>
  <c r="U18" i="2"/>
  <c r="U11" i="2"/>
  <c r="T13" i="2"/>
  <c r="T19" i="2" s="1"/>
  <c r="T20" i="2"/>
  <c r="D17" i="2"/>
  <c r="E13" i="2"/>
  <c r="E19" i="2" s="1"/>
  <c r="E20" i="2"/>
  <c r="S11" i="2"/>
  <c r="S18" i="2"/>
  <c r="R11" i="2"/>
  <c r="R18" i="2"/>
  <c r="H11" i="2"/>
  <c r="H18" i="2"/>
  <c r="H17" i="2"/>
  <c r="H64" i="2"/>
  <c r="H63" i="2"/>
  <c r="G64" i="2"/>
  <c r="G63" i="2"/>
  <c r="G65" i="2" s="1"/>
  <c r="I64" i="2"/>
  <c r="I63" i="2"/>
  <c r="H65" i="2" l="1"/>
  <c r="J19" i="2"/>
  <c r="J14" i="2"/>
  <c r="E14" i="2"/>
  <c r="F18" i="2"/>
  <c r="T14" i="2"/>
  <c r="F20" i="2"/>
  <c r="F19" i="2"/>
  <c r="R13" i="2"/>
  <c r="R19" i="2" s="1"/>
  <c r="R20" i="2"/>
  <c r="U13" i="2"/>
  <c r="U20" i="2"/>
  <c r="H13" i="2"/>
  <c r="H19" i="2" s="1"/>
  <c r="H20" i="2"/>
  <c r="S13" i="2"/>
  <c r="S19" i="2" s="1"/>
  <c r="S20" i="2"/>
  <c r="D13" i="2"/>
  <c r="D20" i="2"/>
  <c r="I65" i="2"/>
  <c r="H47" i="2"/>
  <c r="H28" i="2"/>
  <c r="H34" i="2" s="1"/>
  <c r="H39" i="2" s="1"/>
  <c r="H55" i="2" l="1"/>
  <c r="H60" i="2" s="1"/>
  <c r="H61" i="2" s="1"/>
  <c r="H14" i="2"/>
  <c r="R14" i="2"/>
  <c r="S14" i="2"/>
  <c r="U14" i="2"/>
  <c r="U19" i="2"/>
  <c r="D19" i="2"/>
  <c r="D14" i="2"/>
  <c r="G47" i="2"/>
  <c r="I47" i="2"/>
  <c r="G28" i="2"/>
  <c r="G34" i="2" s="1"/>
  <c r="G39" i="2" s="1"/>
  <c r="I28" i="2"/>
  <c r="I34" i="2" s="1"/>
  <c r="I39" i="2" s="1"/>
  <c r="I22" i="2"/>
  <c r="G55" i="2" l="1"/>
  <c r="G58" i="2" s="1"/>
  <c r="H58" i="2"/>
  <c r="I55" i="2"/>
  <c r="I60" i="2" s="1"/>
  <c r="I61" i="2" s="1"/>
  <c r="G60" i="2"/>
  <c r="G61" i="2" s="1"/>
  <c r="G6" i="2"/>
  <c r="G17" i="2" s="1"/>
  <c r="I6" i="2"/>
  <c r="I17" i="2" s="1"/>
  <c r="C11" i="1"/>
  <c r="C8" i="1"/>
  <c r="C33" i="1" l="1"/>
  <c r="I58" i="2"/>
  <c r="C12" i="1"/>
  <c r="I8" i="2"/>
  <c r="G8" i="2"/>
  <c r="G18" i="2" l="1"/>
  <c r="G11" i="2"/>
  <c r="I18" i="2"/>
  <c r="I11" i="2"/>
  <c r="I13" i="2" l="1"/>
  <c r="I20" i="2"/>
  <c r="G13" i="2"/>
  <c r="G20" i="2"/>
  <c r="I14" i="2"/>
  <c r="I19" i="2"/>
  <c r="G14" i="2"/>
  <c r="G19" i="2"/>
</calcChain>
</file>

<file path=xl/sharedStrings.xml><?xml version="1.0" encoding="utf-8"?>
<sst xmlns="http://schemas.openxmlformats.org/spreadsheetml/2006/main" count="138" uniqueCount="107">
  <si>
    <t>£SGE</t>
  </si>
  <si>
    <t>Sage Group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</si>
  <si>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</si>
  <si>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</si>
  <si>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</si>
  <si>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</si>
  <si>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</si>
  <si>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</si>
  <si>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</si>
  <si>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</si>
  <si>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</si>
  <si>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</si>
  <si>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</si>
  <si>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Chair</t>
  </si>
  <si>
    <t>Profile</t>
  </si>
  <si>
    <t>HQ</t>
  </si>
  <si>
    <t>Founded</t>
  </si>
  <si>
    <t>Update</t>
  </si>
  <si>
    <t>IR</t>
  </si>
  <si>
    <t>Link</t>
  </si>
  <si>
    <t>Ratios</t>
  </si>
  <si>
    <t>P/E</t>
  </si>
  <si>
    <t>P/S</t>
  </si>
  <si>
    <t>P/B</t>
  </si>
  <si>
    <t>Stephen Hare</t>
  </si>
  <si>
    <t>ACA, B.A. B.Com</t>
  </si>
  <si>
    <t>Exec. Dir</t>
  </si>
  <si>
    <t>Jonathan Howell</t>
  </si>
  <si>
    <t>CTO</t>
  </si>
  <si>
    <t>Aaron Harris</t>
  </si>
  <si>
    <t>Newcastle, UK</t>
  </si>
  <si>
    <t>H122</t>
  </si>
  <si>
    <t>H119</t>
  </si>
  <si>
    <t>H219</t>
  </si>
  <si>
    <t>H120</t>
  </si>
  <si>
    <t>H220</t>
  </si>
  <si>
    <t>H221</t>
  </si>
  <si>
    <t>H222</t>
  </si>
  <si>
    <t>H121</t>
  </si>
  <si>
    <t>Revenue</t>
  </si>
  <si>
    <t>COGS</t>
  </si>
  <si>
    <t>Gross Profit</t>
  </si>
  <si>
    <t>SG&amp;A</t>
  </si>
  <si>
    <t>Operating Income</t>
  </si>
  <si>
    <t>Finance Income</t>
  </si>
  <si>
    <t>Finance Cost</t>
  </si>
  <si>
    <t>Pretax Income</t>
  </si>
  <si>
    <t>Taxes</t>
  </si>
  <si>
    <t>Net Income</t>
  </si>
  <si>
    <t>EPS</t>
  </si>
  <si>
    <t>Revenue Y/Y</t>
  </si>
  <si>
    <t>Revenue H/H</t>
  </si>
  <si>
    <t>Gross Margin</t>
  </si>
  <si>
    <t>Operating Margin</t>
  </si>
  <si>
    <t>Net Margin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</si>
  <si>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</si>
  <si>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</si>
  <si>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</si>
  <si>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</si>
  <si>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</si>
  <si>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</si>
  <si>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</si>
  <si>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</si>
  <si>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</si>
  <si>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</si>
  <si>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</si>
  <si>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</si>
  <si>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</si>
  <si>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</si>
  <si>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Balance Sheet</t>
  </si>
  <si>
    <t>Goodwill+Intangibles</t>
  </si>
  <si>
    <t>PP&amp;E</t>
  </si>
  <si>
    <t>Equity Investments</t>
  </si>
  <si>
    <t>Other Financial Assets</t>
  </si>
  <si>
    <t>Trade &amp; A/R</t>
  </si>
  <si>
    <t>Deferred Taxes</t>
  </si>
  <si>
    <t>Total NCA</t>
  </si>
  <si>
    <t>Current Taxes</t>
  </si>
  <si>
    <t>Assets Held For Sale</t>
  </si>
  <si>
    <t>Assets</t>
  </si>
  <si>
    <t>Trade &amp; A/P</t>
  </si>
  <si>
    <t>Borrowings</t>
  </si>
  <si>
    <t>Provisions</t>
  </si>
  <si>
    <t>Deferred Income</t>
  </si>
  <si>
    <t>Liabilities</t>
  </si>
  <si>
    <t>Post-employment</t>
  </si>
  <si>
    <t>Liabilities Held For Sale</t>
  </si>
  <si>
    <t>TCL</t>
  </si>
  <si>
    <t>S/E</t>
  </si>
  <si>
    <t>S/E+L</t>
  </si>
  <si>
    <t>Book Value</t>
  </si>
  <si>
    <t>Book Value per Share</t>
  </si>
  <si>
    <t>-</t>
  </si>
  <si>
    <t>Develops accounting, CRM &amp; logistics tools for businesses</t>
  </si>
  <si>
    <t>Key Events</t>
  </si>
  <si>
    <t>Company Info</t>
  </si>
  <si>
    <t>3rd largest ERP supplier behind Oracle &amp; SAP</t>
  </si>
  <si>
    <t>Andrew Duff</t>
  </si>
  <si>
    <t>Share Price</t>
  </si>
  <si>
    <t>Market Cap</t>
  </si>
  <si>
    <t>Tax Rate</t>
  </si>
  <si>
    <t>Derivative Financial Instruments</t>
  </si>
  <si>
    <t>H123</t>
  </si>
  <si>
    <t>EV/S</t>
  </si>
  <si>
    <t>IPO</t>
  </si>
  <si>
    <t>H223</t>
  </si>
  <si>
    <t>EV/E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</si>
</sst>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000"/>
    <numFmt numFmtId="166" formatCode="0.0\x"/>
    <numFmt numFmtId="168" formatCode="#,##0.0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4" borderId="0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16" fontId="1" fillId="4" borderId="5" xfId="0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1" fillId="5" borderId="0" xfId="0" applyFont="1" applyFill="1"/>
    <xf numFmtId="0" fontId="5" fillId="0" borderId="0" xfId="1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5" borderId="0" xfId="0" applyFont="1" applyFill="1" applyAlignment="1">
      <alignment horizontal="right"/>
    </xf>
    <xf numFmtId="15" fontId="7" fillId="0" borderId="0" xfId="0" applyNumberFormat="1" applyFont="1" applyAlignment="1">
      <alignment horizontal="right"/>
    </xf>
    <xf numFmtId="14" fontId="7" fillId="0" borderId="0" xfId="0" applyNumberFormat="1" applyFont="1" applyAlignment="1">
      <alignment horizontal="right"/>
    </xf>
    <xf numFmtId="0" fontId="2" fillId="5" borderId="0" xfId="0" applyFont="1" applyFill="1"/>
    <xf numFmtId="9" fontId="1" fillId="0" borderId="0" xfId="0" applyNumberFormat="1" applyFont="1"/>
    <xf numFmtId="3" fontId="1" fillId="0" borderId="0" xfId="0" applyNumberFormat="1" applyFont="1"/>
    <xf numFmtId="3" fontId="1" fillId="5" borderId="0" xfId="0" applyNumberFormat="1" applyFont="1" applyFill="1"/>
    <xf numFmtId="165" fontId="1" fillId="0" borderId="0" xfId="0" applyNumberFormat="1" applyFont="1"/>
    <xf numFmtId="0" fontId="8" fillId="0" borderId="0" xfId="0" applyFont="1"/>
    <xf numFmtId="3" fontId="2" fillId="0" borderId="0" xfId="0" applyNumberFormat="1" applyFont="1"/>
    <xf numFmtId="3" fontId="2" fillId="5" borderId="0" xfId="0" applyNumberFormat="1" applyFont="1" applyFill="1"/>
    <xf numFmtId="14" fontId="7" fillId="5" borderId="0" xfId="0" applyNumberFormat="1" applyFont="1" applyFill="1" applyAlignment="1">
      <alignment horizontal="right"/>
    </xf>
    <xf numFmtId="0" fontId="9" fillId="0" borderId="0" xfId="0" applyFont="1"/>
    <xf numFmtId="3" fontId="9" fillId="0" borderId="0" xfId="0" applyNumberFormat="1" applyFont="1"/>
    <xf numFmtId="3" fontId="9" fillId="5" borderId="0" xfId="0" applyNumberFormat="1" applyFont="1" applyFill="1"/>
    <xf numFmtId="9" fontId="2" fillId="0" borderId="0" xfId="0" applyNumberFormat="1" applyFont="1"/>
    <xf numFmtId="9" fontId="1" fillId="5" borderId="0" xfId="0" applyNumberFormat="1" applyFont="1" applyFill="1"/>
    <xf numFmtId="15" fontId="7" fillId="5" borderId="0" xfId="0" applyNumberFormat="1" applyFont="1" applyFill="1" applyAlignment="1">
      <alignment horizontal="right"/>
    </xf>
    <xf numFmtId="165" fontId="1" fillId="5" borderId="0" xfId="0" applyNumberFormat="1" applyFont="1" applyFill="1"/>
    <xf numFmtId="0" fontId="1" fillId="4" borderId="4" xfId="0" applyFont="1" applyFill="1" applyBorder="1"/>
    <xf numFmtId="0" fontId="1" fillId="4" borderId="6" xfId="0" applyFont="1" applyFill="1" applyBorder="1"/>
    <xf numFmtId="2" fontId="1" fillId="0" borderId="0" xfId="0" applyNumberFormat="1" applyFont="1" applyBorder="1"/>
    <xf numFmtId="164" fontId="1" fillId="0" borderId="0" xfId="0" applyNumberFormat="1" applyFont="1"/>
    <xf numFmtId="166" fontId="1" fillId="0" borderId="0" xfId="0" applyNumberFormat="1" applyFont="1"/>
    <xf numFmtId="9" fontId="2" fillId="0" borderId="0" xfId="0" applyNumberFormat="1" applyFont="1" applyAlignment="1">
      <alignment horizontal="right"/>
    </xf>
    <xf numFmtId="9" fontId="2" fillId="5" borderId="0" xfId="0" applyNumberFormat="1" applyFont="1" applyFill="1" applyAlignment="1">
      <alignment horizontal="right"/>
    </xf>
    <xf numFmtId="9" fontId="2" fillId="5" borderId="0" xfId="0" applyNumberFormat="1" applyFont="1" applyFill="1"/>
    <xf numFmtId="0" fontId="9" fillId="5" borderId="0" xfId="0" applyFont="1" applyFill="1"/>
    <xf numFmtId="0" fontId="1" fillId="6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6" fontId="1" fillId="4" borderId="0" xfId="0" applyNumberFormat="1" applyFont="1" applyFill="1" applyBorder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166" fontId="1" fillId="4" borderId="7" xfId="0" applyNumberFormat="1" applyFont="1" applyFill="1" applyBorder="1" applyAlignment="1">
      <alignment horizontal="center"/>
    </xf>
    <xf numFmtId="166" fontId="1" fillId="4" borderId="8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68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</xdr:row>
      <xdr:rowOff>114300</xdr:rowOff>
    </xdr:to>
    <xdr:sp macro="" textlink="">
      <xdr:nvSpPr>
        <xdr:cNvPr id="1026" name="AutoShape 2" descr="Sage UK - Software &amp; Solutions for Every Business">
          <a:extLst>
            <a:ext uri="{FF2B5EF4-FFF2-40B4-BE49-F238E27FC236}">
              <a16:creationId xmlns:a16="http://schemas.microsoft.com/office/drawing/2014/main" id="{2FB6AE3C-B809-49B3-BE41-0B1FCF67C26E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239649</xdr:colOff>
      <xdr:row>0</xdr:row>
      <xdr:rowOff>90529</xdr:rowOff>
    </xdr:from>
    <xdr:to>
      <xdr:col>5</xdr:col>
      <xdr:colOff>204153</xdr:colOff>
      <xdr:row>3</xdr:row>
      <xdr:rowOff>38101</xdr:rowOff>
    </xdr:to>
    <xdr:pic>
      <xdr:nvPicPr>
        <xdr:cNvPr id="4" name="Picture 3" descr="File:Sage logo.svg - Wikimedia Commons">
          <a:extLst>
            <a:ext uri="{FF2B5EF4-FFF2-40B4-BE49-F238E27FC236}">
              <a16:creationId xmlns:a16="http://schemas.microsoft.com/office/drawing/2014/main" id="{8DD10BC8-979C-4079-A5E3-36CE13D7D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8449" y="90529"/>
          <a:ext cx="1183704" cy="4619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</xdr:colOff>
      <xdr:row>0</xdr:row>
      <xdr:rowOff>9525</xdr:rowOff>
    </xdr:from>
    <xdr:to>
      <xdr:col>10</xdr:col>
      <xdr:colOff>6350</xdr:colOff>
      <xdr:row>83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7E07975-245C-4BFE-B1DD-0534187AAC82}"/>
            </a:ext>
          </a:extLst>
        </xdr:cNvPr>
        <xdr:cNvCxnSpPr/>
      </xdr:nvCxnSpPr>
      <xdr:spPr>
        <a:xfrm>
          <a:off x="6940550" y="9525"/>
          <a:ext cx="0" cy="134397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0</xdr:row>
      <xdr:rowOff>0</xdr:rowOff>
    </xdr:from>
    <xdr:to>
      <xdr:col>22</xdr:col>
      <xdr:colOff>0</xdr:colOff>
      <xdr:row>84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98C6985-0B18-480F-B427-89E27B1B66DD}"/>
            </a:ext>
          </a:extLst>
        </xdr:cNvPr>
        <xdr:cNvCxnSpPr/>
      </xdr:nvCxnSpPr>
      <xdr:spPr>
        <a:xfrm>
          <a:off x="14249400" y="0"/>
          <a:ext cx="0" cy="136779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age.com/investor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age.com/investors/-/media/files/investors/documents/pdf/downloads/results/full%20year%202021%20results/full%20year%202021%20results%20press%20release.pdf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sage.com/investors/-/media/files/investors/documents/pdf/downloads/results/half%20year%202020%20results/half%20year%202020%20results%20press%20release.pdf" TargetMode="External"/><Relationship Id="rId1" Type="http://schemas.openxmlformats.org/officeDocument/2006/relationships/hyperlink" Target="https://www.sage.com/investors/-/media/files/investors/documents/pdf/downloads/results/half%20year%202022%20results/half%20year%202022%20results%20press%20release.pdf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sage.com/investors/-/media/files/investors/documents/pdf/downloads/results/full%20year%202022%20results/full%20year%202022%20press%20release.pdf" TargetMode="External"/><Relationship Id="rId4" Type="http://schemas.openxmlformats.org/officeDocument/2006/relationships/hyperlink" Target="https://www.sage.com/investors/-/media/files/investors/documents/pdf/downloads/results/full%20year%202019%20results/full%20year%202019%20results%20press%20releas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0BB21-6927-4998-A7CD-B755108AED34}">
  <dimension ref="A2:X36"/>
  <sheetViews>
    <sheetView tabSelected="1" workbookViewId="0">
      <selection activeCell="B31" sqref="B31:D36"/>
    </sheetView>
  </sheetViews>
  <sheetFormatPr defaultColWidth="9.140625" defaultRowHeight="12.75" x14ac:dyDescent="0.2"/>
  <cols>
    <col min="1" max="16384" width="9.140625" style="1"/>
  </cols>
  <sheetData>
    <row r="2" spans="1:24" ht="15" x14ac:dyDescent="0.25">
      <c r="B2" s="3" t="s">
        <v>0</v>
      </c>
      <c r="F2"/>
      <c r="G2" s="55" t="s">
        <v>93</v>
      </c>
      <c r="H2" s="55"/>
      <c r="I2" s="55"/>
      <c r="J2" s="55"/>
      <c r="K2" s="55"/>
      <c r="L2" s="55"/>
    </row>
    <row r="3" spans="1:24" x14ac:dyDescent="0.2">
      <c r="B3" s="2" t="s">
        <v>1</v>
      </c>
    </row>
    <row r="5" spans="1:24" x14ac:dyDescent="0.2">
      <c r="B5" s="56" t="s">
        <v>2</v>
      </c>
      <c r="C5" s="57"/>
      <c r="D5" s="58"/>
      <c r="H5" s="56" t="s">
        <v>94</v>
      </c>
      <c r="I5" s="57"/>
      <c r="J5" s="57"/>
      <c r="K5" s="57"/>
      <c r="L5" s="57"/>
      <c r="M5" s="57"/>
      <c r="N5" s="57"/>
      <c r="O5" s="57"/>
      <c r="P5" s="57"/>
      <c r="Q5" s="58"/>
      <c r="T5" s="56" t="s">
        <v>95</v>
      </c>
      <c r="U5" s="57"/>
      <c r="V5" s="57"/>
      <c r="W5" s="57"/>
      <c r="X5" s="58"/>
    </row>
    <row r="6" spans="1:24" x14ac:dyDescent="0.2">
      <c r="B6" s="4" t="s">
        <v>3</v>
      </c>
      <c r="C6" s="48">
        <v>7.4459999999999997</v>
      </c>
      <c r="D6" s="14"/>
      <c r="H6" s="12"/>
      <c r="I6" s="7"/>
      <c r="J6" s="7"/>
      <c r="K6" s="7"/>
      <c r="L6" s="7"/>
      <c r="M6" s="7"/>
      <c r="N6" s="7"/>
      <c r="O6" s="7"/>
      <c r="P6" s="7"/>
      <c r="Q6" s="8"/>
      <c r="T6" s="46" t="s">
        <v>96</v>
      </c>
      <c r="U6" s="7"/>
      <c r="V6" s="7"/>
      <c r="W6" s="7"/>
      <c r="X6" s="8"/>
    </row>
    <row r="7" spans="1:24" x14ac:dyDescent="0.2">
      <c r="B7" s="4" t="s">
        <v>4</v>
      </c>
      <c r="C7" s="16">
        <v>1020</v>
      </c>
      <c r="D7" s="14" t="s">
        <v>59</v>
      </c>
      <c r="H7" s="12"/>
      <c r="I7" s="7"/>
      <c r="J7" s="7"/>
      <c r="K7" s="7"/>
      <c r="L7" s="7"/>
      <c r="M7" s="7"/>
      <c r="N7" s="7"/>
      <c r="O7" s="7"/>
      <c r="P7" s="7"/>
      <c r="Q7" s="8"/>
      <c r="T7" s="46"/>
      <c r="U7" s="7"/>
      <c r="V7" s="7"/>
      <c r="W7" s="7"/>
      <c r="X7" s="8"/>
    </row>
    <row r="8" spans="1:24" x14ac:dyDescent="0.2">
      <c r="B8" s="4" t="s">
        <v>5</v>
      </c>
      <c r="C8" s="16">
        <f>C6*C7</f>
        <v>7594.92</v>
      </c>
      <c r="D8" s="14"/>
      <c r="H8" s="12"/>
      <c r="I8" s="7"/>
      <c r="J8" s="7"/>
      <c r="K8" s="7"/>
      <c r="L8" s="7"/>
      <c r="M8" s="7"/>
      <c r="N8" s="7"/>
      <c r="O8" s="7"/>
      <c r="P8" s="7"/>
      <c r="Q8" s="8"/>
      <c r="T8" s="46"/>
      <c r="U8" s="7"/>
      <c r="V8" s="7"/>
      <c r="W8" s="7"/>
      <c r="X8" s="8"/>
    </row>
    <row r="9" spans="1:24" x14ac:dyDescent="0.2">
      <c r="B9" s="4" t="s">
        <v>6</v>
      </c>
      <c r="C9" s="16">
        <f>'Financial Model'!V63</f>
        <v>493</v>
      </c>
      <c r="D9" s="14" t="s">
        <v>59</v>
      </c>
      <c r="H9" s="12"/>
      <c r="I9" s="7"/>
      <c r="J9" s="7"/>
      <c r="K9" s="7"/>
      <c r="L9" s="7"/>
      <c r="M9" s="7"/>
      <c r="N9" s="7"/>
      <c r="O9" s="7"/>
      <c r="P9" s="7"/>
      <c r="Q9" s="8"/>
      <c r="T9" s="46"/>
      <c r="U9" s="7"/>
      <c r="V9" s="7"/>
      <c r="W9" s="7"/>
      <c r="X9" s="8"/>
    </row>
    <row r="10" spans="1:24" x14ac:dyDescent="0.2">
      <c r="B10" s="4" t="s">
        <v>7</v>
      </c>
      <c r="C10" s="16">
        <f>'Financial Model'!V64</f>
        <v>1222</v>
      </c>
      <c r="D10" s="14" t="s">
        <v>59</v>
      </c>
      <c r="H10" s="12"/>
      <c r="I10" s="7"/>
      <c r="J10" s="7"/>
      <c r="K10" s="7"/>
      <c r="L10" s="7"/>
      <c r="M10" s="7"/>
      <c r="N10" s="7"/>
      <c r="O10" s="7"/>
      <c r="P10" s="7"/>
      <c r="Q10" s="8"/>
      <c r="T10" s="46"/>
      <c r="U10" s="7"/>
      <c r="V10" s="7"/>
      <c r="W10" s="7"/>
      <c r="X10" s="8"/>
    </row>
    <row r="11" spans="1:24" x14ac:dyDescent="0.2">
      <c r="B11" s="4" t="s">
        <v>8</v>
      </c>
      <c r="C11" s="16">
        <f>C9-C10</f>
        <v>-729</v>
      </c>
      <c r="D11" s="14" t="s">
        <v>59</v>
      </c>
      <c r="H11" s="12"/>
      <c r="I11" s="7"/>
      <c r="J11" s="7"/>
      <c r="K11" s="7"/>
      <c r="L11" s="7"/>
      <c r="M11" s="7"/>
      <c r="N11" s="7"/>
      <c r="O11" s="7"/>
      <c r="P11" s="7"/>
      <c r="Q11" s="8"/>
      <c r="T11" s="46"/>
      <c r="U11" s="7"/>
      <c r="V11" s="7"/>
      <c r="W11" s="7"/>
      <c r="X11" s="8"/>
    </row>
    <row r="12" spans="1:24" x14ac:dyDescent="0.2">
      <c r="B12" s="5" t="s">
        <v>9</v>
      </c>
      <c r="C12" s="17">
        <f>C8-C11</f>
        <v>8323.92</v>
      </c>
      <c r="D12" s="15"/>
      <c r="H12" s="12"/>
      <c r="I12" s="7"/>
      <c r="J12" s="7"/>
      <c r="K12" s="7"/>
      <c r="L12" s="7"/>
      <c r="M12" s="7"/>
      <c r="N12" s="7"/>
      <c r="O12" s="7"/>
      <c r="P12" s="7"/>
      <c r="Q12" s="8"/>
      <c r="T12" s="46"/>
      <c r="U12" s="7"/>
      <c r="V12" s="7"/>
      <c r="W12" s="7"/>
      <c r="X12" s="8"/>
    </row>
    <row r="13" spans="1:24" x14ac:dyDescent="0.2">
      <c r="H13" s="12"/>
      <c r="I13" s="7"/>
      <c r="J13" s="7"/>
      <c r="K13" s="7"/>
      <c r="L13" s="7"/>
      <c r="M13" s="7"/>
      <c r="N13" s="7"/>
      <c r="O13" s="7"/>
      <c r="P13" s="7"/>
      <c r="Q13" s="8"/>
      <c r="T13" s="47"/>
      <c r="U13" s="10"/>
      <c r="V13" s="10"/>
      <c r="W13" s="10"/>
      <c r="X13" s="11"/>
    </row>
    <row r="14" spans="1:24" x14ac:dyDescent="0.2">
      <c r="H14" s="12"/>
      <c r="I14" s="7"/>
      <c r="J14" s="7"/>
      <c r="K14" s="7"/>
      <c r="L14" s="7"/>
      <c r="M14" s="7"/>
      <c r="N14" s="7"/>
      <c r="O14" s="7"/>
      <c r="P14" s="7"/>
      <c r="Q14" s="8"/>
    </row>
    <row r="15" spans="1:24" x14ac:dyDescent="0.2">
      <c r="B15" s="56" t="s">
        <v>10</v>
      </c>
      <c r="C15" s="57"/>
      <c r="D15" s="58"/>
      <c r="H15" s="12"/>
      <c r="I15" s="7"/>
      <c r="J15" s="7"/>
      <c r="K15" s="7"/>
      <c r="L15" s="7"/>
      <c r="M15" s="7"/>
      <c r="N15" s="7"/>
      <c r="O15" s="7"/>
      <c r="P15" s="7"/>
      <c r="Q15" s="8"/>
    </row>
    <row r="16" spans="1:24" x14ac:dyDescent="0.2">
      <c r="A16" s="19" t="s">
        <v>26</v>
      </c>
      <c r="B16" s="6" t="s">
        <v>11</v>
      </c>
      <c r="C16" s="63" t="s">
        <v>24</v>
      </c>
      <c r="D16" s="64"/>
      <c r="E16" s="1" t="s">
        <v>25</v>
      </c>
      <c r="H16" s="12"/>
      <c r="I16" s="7"/>
      <c r="J16" s="7"/>
      <c r="K16" s="7"/>
      <c r="L16" s="7"/>
      <c r="M16" s="7"/>
      <c r="N16" s="7"/>
      <c r="O16" s="7"/>
      <c r="P16" s="7"/>
      <c r="Q16" s="8"/>
    </row>
    <row r="17" spans="1:17" x14ac:dyDescent="0.2">
      <c r="A17" s="19" t="s">
        <v>26</v>
      </c>
      <c r="B17" s="6" t="s">
        <v>12</v>
      </c>
      <c r="C17" s="63" t="s">
        <v>27</v>
      </c>
      <c r="D17" s="64"/>
      <c r="H17" s="12"/>
      <c r="I17" s="7"/>
      <c r="J17" s="7"/>
      <c r="K17" s="7"/>
      <c r="L17" s="7"/>
      <c r="M17" s="7"/>
      <c r="N17" s="7"/>
      <c r="O17" s="7"/>
      <c r="P17" s="7"/>
      <c r="Q17" s="8"/>
    </row>
    <row r="18" spans="1:17" x14ac:dyDescent="0.2">
      <c r="B18" s="6" t="s">
        <v>28</v>
      </c>
      <c r="C18" s="63" t="s">
        <v>29</v>
      </c>
      <c r="D18" s="64"/>
      <c r="H18" s="12"/>
      <c r="I18" s="7"/>
      <c r="J18" s="7"/>
      <c r="K18" s="7"/>
      <c r="L18" s="7"/>
      <c r="M18" s="7"/>
      <c r="N18" s="7"/>
      <c r="O18" s="7"/>
      <c r="P18" s="7"/>
      <c r="Q18" s="8"/>
    </row>
    <row r="19" spans="1:17" x14ac:dyDescent="0.2">
      <c r="B19" s="9" t="s">
        <v>13</v>
      </c>
      <c r="C19" s="65" t="s">
        <v>97</v>
      </c>
      <c r="D19" s="66"/>
      <c r="H19" s="12"/>
      <c r="I19" s="7"/>
      <c r="J19" s="7"/>
      <c r="K19" s="7"/>
      <c r="L19" s="7"/>
      <c r="M19" s="7"/>
      <c r="N19" s="7"/>
      <c r="O19" s="7"/>
      <c r="P19" s="7"/>
      <c r="Q19" s="8"/>
    </row>
    <row r="20" spans="1:17" x14ac:dyDescent="0.2">
      <c r="H20" s="12"/>
      <c r="I20" s="7"/>
      <c r="J20" s="7"/>
      <c r="K20" s="7"/>
      <c r="L20" s="7"/>
      <c r="M20" s="7"/>
      <c r="N20" s="7"/>
      <c r="O20" s="7"/>
      <c r="P20" s="7"/>
      <c r="Q20" s="8"/>
    </row>
    <row r="21" spans="1:17" x14ac:dyDescent="0.2">
      <c r="H21" s="12"/>
      <c r="I21" s="7"/>
      <c r="J21" s="7"/>
      <c r="K21" s="7"/>
      <c r="L21" s="7"/>
      <c r="M21" s="7"/>
      <c r="N21" s="7"/>
      <c r="O21" s="7"/>
      <c r="P21" s="7"/>
      <c r="Q21" s="8"/>
    </row>
    <row r="22" spans="1:17" x14ac:dyDescent="0.2">
      <c r="B22" s="56" t="s">
        <v>14</v>
      </c>
      <c r="C22" s="57"/>
      <c r="D22" s="58"/>
      <c r="H22" s="12"/>
      <c r="I22" s="7"/>
      <c r="J22" s="7"/>
      <c r="K22" s="7"/>
      <c r="L22" s="7"/>
      <c r="M22" s="7"/>
      <c r="N22" s="7"/>
      <c r="O22" s="7"/>
      <c r="P22" s="7"/>
      <c r="Q22" s="8"/>
    </row>
    <row r="23" spans="1:17" x14ac:dyDescent="0.2">
      <c r="B23" s="12" t="s">
        <v>15</v>
      </c>
      <c r="C23" s="63" t="s">
        <v>30</v>
      </c>
      <c r="D23" s="64"/>
      <c r="H23" s="12"/>
      <c r="I23" s="7"/>
      <c r="J23" s="7"/>
      <c r="K23" s="7"/>
      <c r="L23" s="7"/>
      <c r="M23" s="7"/>
      <c r="N23" s="7"/>
      <c r="O23" s="7"/>
      <c r="P23" s="7"/>
      <c r="Q23" s="8"/>
    </row>
    <row r="24" spans="1:17" x14ac:dyDescent="0.2">
      <c r="B24" s="12" t="s">
        <v>16</v>
      </c>
      <c r="C24" s="63">
        <v>1981</v>
      </c>
      <c r="D24" s="64"/>
      <c r="H24" s="12"/>
      <c r="I24" s="7"/>
      <c r="J24" s="7"/>
      <c r="K24" s="7"/>
      <c r="L24" s="7"/>
      <c r="M24" s="7"/>
      <c r="N24" s="7"/>
      <c r="O24" s="7"/>
      <c r="P24" s="7"/>
      <c r="Q24" s="8"/>
    </row>
    <row r="25" spans="1:17" x14ac:dyDescent="0.2">
      <c r="B25" s="12" t="s">
        <v>104</v>
      </c>
      <c r="C25" s="63">
        <v>1989</v>
      </c>
      <c r="D25" s="64"/>
      <c r="H25" s="12"/>
      <c r="I25" s="7"/>
      <c r="J25" s="7"/>
      <c r="K25" s="7"/>
      <c r="L25" s="7"/>
      <c r="M25" s="7"/>
      <c r="N25" s="7"/>
      <c r="O25" s="7"/>
      <c r="P25" s="7"/>
      <c r="Q25" s="8"/>
    </row>
    <row r="26" spans="1:17" x14ac:dyDescent="0.2">
      <c r="B26" s="12"/>
      <c r="C26" s="63"/>
      <c r="D26" s="64"/>
      <c r="H26" s="12"/>
      <c r="I26" s="7"/>
      <c r="J26" s="7"/>
      <c r="K26" s="7"/>
      <c r="L26" s="7"/>
      <c r="M26" s="7"/>
      <c r="N26" s="7"/>
      <c r="O26" s="7"/>
      <c r="P26" s="7"/>
      <c r="Q26" s="8"/>
    </row>
    <row r="27" spans="1:17" x14ac:dyDescent="0.2">
      <c r="B27" s="12" t="s">
        <v>17</v>
      </c>
      <c r="C27" s="18" t="s">
        <v>59</v>
      </c>
      <c r="D27" s="20">
        <v>44881</v>
      </c>
      <c r="H27" s="12"/>
      <c r="I27" s="7"/>
      <c r="J27" s="7"/>
      <c r="K27" s="7"/>
      <c r="L27" s="7"/>
      <c r="M27" s="7"/>
      <c r="N27" s="7"/>
      <c r="O27" s="7"/>
      <c r="P27" s="7"/>
      <c r="Q27" s="8"/>
    </row>
    <row r="28" spans="1:17" x14ac:dyDescent="0.2">
      <c r="B28" s="13" t="s">
        <v>18</v>
      </c>
      <c r="C28" s="67" t="s">
        <v>19</v>
      </c>
      <c r="D28" s="68"/>
      <c r="H28" s="12"/>
      <c r="I28" s="7"/>
      <c r="J28" s="7"/>
      <c r="K28" s="7"/>
      <c r="L28" s="7"/>
      <c r="M28" s="7"/>
      <c r="N28" s="7"/>
      <c r="O28" s="7"/>
      <c r="P28" s="7"/>
      <c r="Q28" s="8"/>
    </row>
    <row r="29" spans="1:17" x14ac:dyDescent="0.2">
      <c r="H29" s="12"/>
      <c r="I29" s="7"/>
      <c r="J29" s="7"/>
      <c r="K29" s="7"/>
      <c r="L29" s="7"/>
      <c r="M29" s="7"/>
      <c r="N29" s="7"/>
      <c r="O29" s="7"/>
      <c r="P29" s="7"/>
      <c r="Q29" s="8"/>
    </row>
    <row r="30" spans="1:17" x14ac:dyDescent="0.2">
      <c r="H30" s="12"/>
      <c r="I30" s="7"/>
      <c r="J30" s="7"/>
      <c r="K30" s="7"/>
      <c r="L30" s="7"/>
      <c r="M30" s="7"/>
      <c r="N30" s="7"/>
      <c r="O30" s="7"/>
      <c r="P30" s="7"/>
      <c r="Q30" s="8"/>
    </row>
    <row r="31" spans="1:17" x14ac:dyDescent="0.2">
      <c r="B31" s="56" t="s">
        <v>20</v>
      </c>
      <c r="C31" s="57"/>
      <c r="D31" s="58"/>
      <c r="H31" s="12"/>
      <c r="I31" s="7"/>
      <c r="J31" s="7"/>
      <c r="K31" s="7"/>
      <c r="L31" s="7"/>
      <c r="M31" s="7"/>
      <c r="N31" s="7"/>
      <c r="O31" s="7"/>
      <c r="P31" s="7"/>
      <c r="Q31" s="8"/>
    </row>
    <row r="32" spans="1:17" x14ac:dyDescent="0.2">
      <c r="B32" s="12" t="s">
        <v>21</v>
      </c>
      <c r="C32" s="59">
        <f>C6/'Financial Model'!V14</f>
        <v>29.901259842519682</v>
      </c>
      <c r="D32" s="60"/>
      <c r="H32" s="12"/>
      <c r="I32" s="7"/>
      <c r="J32" s="7"/>
      <c r="K32" s="7"/>
      <c r="L32" s="7"/>
      <c r="M32" s="7"/>
      <c r="N32" s="7"/>
      <c r="O32" s="7"/>
      <c r="P32" s="7"/>
      <c r="Q32" s="8"/>
    </row>
    <row r="33" spans="2:17" x14ac:dyDescent="0.2">
      <c r="B33" s="12" t="s">
        <v>22</v>
      </c>
      <c r="C33" s="59">
        <f>C8/'Financial Model'!V4</f>
        <v>3.9008320493066257</v>
      </c>
      <c r="D33" s="60"/>
      <c r="H33" s="12"/>
      <c r="I33" s="7"/>
      <c r="J33" s="7"/>
      <c r="K33" s="7"/>
      <c r="L33" s="7"/>
      <c r="M33" s="7"/>
      <c r="N33" s="7"/>
      <c r="O33" s="7"/>
      <c r="P33" s="7"/>
      <c r="Q33" s="8"/>
    </row>
    <row r="34" spans="2:17" x14ac:dyDescent="0.2">
      <c r="B34" s="12" t="s">
        <v>23</v>
      </c>
      <c r="C34" s="59">
        <f>C6/'Financial Model'!V61</f>
        <v>5.5155555555555553</v>
      </c>
      <c r="D34" s="60"/>
      <c r="H34" s="13"/>
      <c r="I34" s="10"/>
      <c r="J34" s="10"/>
      <c r="K34" s="10"/>
      <c r="L34" s="10"/>
      <c r="M34" s="10"/>
      <c r="N34" s="10"/>
      <c r="O34" s="10"/>
      <c r="P34" s="10"/>
      <c r="Q34" s="11"/>
    </row>
    <row r="35" spans="2:17" x14ac:dyDescent="0.2">
      <c r="B35" s="12" t="s">
        <v>103</v>
      </c>
      <c r="C35" s="59">
        <f>C12/'Financial Model'!V4</f>
        <v>4.2752542372881353</v>
      </c>
      <c r="D35" s="60"/>
    </row>
    <row r="36" spans="2:17" x14ac:dyDescent="0.2">
      <c r="B36" s="13" t="s">
        <v>106</v>
      </c>
      <c r="C36" s="61">
        <f>C12/'Financial Model'!V13</f>
        <v>32.771338582677167</v>
      </c>
      <c r="D36" s="62"/>
    </row>
  </sheetData>
  <mergeCells count="21">
    <mergeCell ref="C35:D35"/>
    <mergeCell ref="C36:D36"/>
    <mergeCell ref="C33:D33"/>
    <mergeCell ref="C34:D34"/>
    <mergeCell ref="C16:D16"/>
    <mergeCell ref="C17:D17"/>
    <mergeCell ref="C18:D18"/>
    <mergeCell ref="C19:D19"/>
    <mergeCell ref="B22:D22"/>
    <mergeCell ref="C28:D28"/>
    <mergeCell ref="C26:D26"/>
    <mergeCell ref="C25:D25"/>
    <mergeCell ref="C24:D24"/>
    <mergeCell ref="C23:D23"/>
    <mergeCell ref="G2:L2"/>
    <mergeCell ref="H5:Q5"/>
    <mergeCell ref="T5:X5"/>
    <mergeCell ref="B31:D31"/>
    <mergeCell ref="C32:D32"/>
    <mergeCell ref="B5:D5"/>
    <mergeCell ref="B15:D15"/>
  </mergeCells>
  <hyperlinks>
    <hyperlink ref="C28:D28" r:id="rId1" display="Link" xr:uid="{E398FABE-A8E2-41B0-BEEF-891546DA9EBE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B68F3-0B4D-4779-B224-181DBEE6F8C1}">
  <dimension ref="B1:AE74"/>
  <sheetViews>
    <sheetView zoomScaleNormal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U15" sqref="U15"/>
    </sheetView>
  </sheetViews>
  <sheetFormatPr defaultColWidth="9.140625" defaultRowHeight="12.75" x14ac:dyDescent="0.2"/>
  <cols>
    <col min="1" max="1" width="5" style="1" customWidth="1"/>
    <col min="2" max="2" width="25.85546875" style="1" bestFit="1" customWidth="1"/>
    <col min="3" max="3" width="9.140625" style="1"/>
    <col min="4" max="4" width="9.140625" style="23"/>
    <col min="5" max="5" width="9.140625" style="1"/>
    <col min="6" max="6" width="9.140625" style="23"/>
    <col min="7" max="7" width="9.140625" style="1"/>
    <col min="8" max="8" width="9.140625" style="23"/>
    <col min="9" max="9" width="9.140625" style="1"/>
    <col min="10" max="10" width="9.140625" style="23"/>
    <col min="11" max="11" width="9.140625" style="1"/>
    <col min="12" max="12" width="9.140625" style="23"/>
    <col min="13" max="16384" width="9.140625" style="1"/>
  </cols>
  <sheetData>
    <row r="1" spans="2:31" s="21" customFormat="1" x14ac:dyDescent="0.2">
      <c r="C1" s="21" t="s">
        <v>32</v>
      </c>
      <c r="D1" s="22" t="s">
        <v>33</v>
      </c>
      <c r="E1" s="24" t="s">
        <v>34</v>
      </c>
      <c r="F1" s="22" t="s">
        <v>35</v>
      </c>
      <c r="G1" s="21" t="s">
        <v>38</v>
      </c>
      <c r="H1" s="22" t="s">
        <v>36</v>
      </c>
      <c r="I1" s="24" t="s">
        <v>31</v>
      </c>
      <c r="J1" s="22" t="s">
        <v>37</v>
      </c>
      <c r="K1" s="21" t="s">
        <v>102</v>
      </c>
      <c r="L1" s="22" t="s">
        <v>105</v>
      </c>
      <c r="R1" s="21" t="s">
        <v>55</v>
      </c>
      <c r="S1" s="24" t="s">
        <v>56</v>
      </c>
      <c r="T1" s="21" t="s">
        <v>57</v>
      </c>
      <c r="U1" s="24" t="s">
        <v>58</v>
      </c>
      <c r="V1" s="24" t="s">
        <v>59</v>
      </c>
      <c r="W1" s="21" t="s">
        <v>60</v>
      </c>
      <c r="X1" s="21" t="s">
        <v>61</v>
      </c>
      <c r="Y1" s="21" t="s">
        <v>62</v>
      </c>
      <c r="Z1" s="21" t="s">
        <v>63</v>
      </c>
      <c r="AA1" s="21" t="s">
        <v>64</v>
      </c>
      <c r="AB1" s="21" t="s">
        <v>65</v>
      </c>
      <c r="AC1" s="21" t="s">
        <v>66</v>
      </c>
      <c r="AD1" s="21" t="s">
        <v>67</v>
      </c>
      <c r="AE1" s="21" t="s">
        <v>68</v>
      </c>
    </row>
    <row r="2" spans="2:31" s="26" customFormat="1" x14ac:dyDescent="0.2">
      <c r="B2" s="25"/>
      <c r="C2" s="29">
        <v>43555</v>
      </c>
      <c r="D2" s="38">
        <v>43738</v>
      </c>
      <c r="E2" s="29">
        <v>43921</v>
      </c>
      <c r="F2" s="38">
        <f>T2</f>
        <v>44104</v>
      </c>
      <c r="G2" s="29">
        <v>44286</v>
      </c>
      <c r="H2" s="38">
        <v>44469</v>
      </c>
      <c r="I2" s="29">
        <v>44651</v>
      </c>
      <c r="J2" s="38">
        <f>V2</f>
        <v>44834</v>
      </c>
      <c r="L2" s="27"/>
      <c r="R2" s="29">
        <v>43373</v>
      </c>
      <c r="S2" s="29">
        <v>43738</v>
      </c>
      <c r="T2" s="29">
        <v>44104</v>
      </c>
      <c r="U2" s="29">
        <v>44469</v>
      </c>
      <c r="V2" s="29">
        <v>44834</v>
      </c>
    </row>
    <row r="3" spans="2:31" s="26" customFormat="1" x14ac:dyDescent="0.2">
      <c r="B3" s="25"/>
      <c r="D3" s="44">
        <f>S3</f>
        <v>43789</v>
      </c>
      <c r="E3" s="28">
        <v>43964</v>
      </c>
      <c r="F3" s="27"/>
      <c r="H3" s="44">
        <f>U3</f>
        <v>44517</v>
      </c>
      <c r="I3" s="28">
        <v>44694</v>
      </c>
      <c r="J3" s="44">
        <v>44881</v>
      </c>
      <c r="L3" s="27"/>
      <c r="S3" s="28">
        <v>43789</v>
      </c>
      <c r="U3" s="28">
        <v>44517</v>
      </c>
      <c r="V3" s="28">
        <v>44881</v>
      </c>
    </row>
    <row r="4" spans="2:31" s="2" customFormat="1" x14ac:dyDescent="0.2">
      <c r="B4" s="2" t="s">
        <v>39</v>
      </c>
      <c r="C4" s="2">
        <v>957</v>
      </c>
      <c r="D4" s="37">
        <f>S4-C4</f>
        <v>979</v>
      </c>
      <c r="E4" s="2">
        <v>975</v>
      </c>
      <c r="F4" s="37">
        <f>T4-E4</f>
        <v>928</v>
      </c>
      <c r="G4" s="2">
        <v>937</v>
      </c>
      <c r="H4" s="37">
        <f>U4-G4</f>
        <v>909</v>
      </c>
      <c r="I4" s="2">
        <v>934</v>
      </c>
      <c r="J4" s="37">
        <f>V4-I4</f>
        <v>1013</v>
      </c>
      <c r="L4" s="30"/>
      <c r="R4" s="36">
        <v>1846</v>
      </c>
      <c r="S4" s="36">
        <v>1936</v>
      </c>
      <c r="T4" s="36">
        <v>1903</v>
      </c>
      <c r="U4" s="36">
        <v>1846</v>
      </c>
      <c r="V4" s="36">
        <v>1947</v>
      </c>
    </row>
    <row r="5" spans="2:31" x14ac:dyDescent="0.2">
      <c r="B5" s="1" t="s">
        <v>40</v>
      </c>
      <c r="C5" s="1">
        <v>70</v>
      </c>
      <c r="D5" s="33">
        <f>S5-C5</f>
        <v>68</v>
      </c>
      <c r="E5" s="1">
        <v>64</v>
      </c>
      <c r="F5" s="33">
        <f>T5-E5</f>
        <v>62</v>
      </c>
      <c r="G5" s="1">
        <v>72</v>
      </c>
      <c r="H5" s="33">
        <f>U5-G5</f>
        <v>59</v>
      </c>
      <c r="I5" s="1">
        <v>68</v>
      </c>
      <c r="J5" s="33">
        <f>V5-I5</f>
        <v>70</v>
      </c>
      <c r="R5" s="32">
        <v>130</v>
      </c>
      <c r="S5" s="32">
        <v>138</v>
      </c>
      <c r="T5" s="32">
        <v>126</v>
      </c>
      <c r="U5" s="32">
        <v>131</v>
      </c>
      <c r="V5" s="32">
        <v>138</v>
      </c>
    </row>
    <row r="6" spans="2:31" s="2" customFormat="1" x14ac:dyDescent="0.2">
      <c r="B6" s="2" t="s">
        <v>41</v>
      </c>
      <c r="C6" s="2">
        <f t="shared" ref="C6:J6" si="0">C4-C5</f>
        <v>887</v>
      </c>
      <c r="D6" s="37">
        <f t="shared" si="0"/>
        <v>911</v>
      </c>
      <c r="E6" s="2">
        <f t="shared" si="0"/>
        <v>911</v>
      </c>
      <c r="F6" s="37">
        <f t="shared" si="0"/>
        <v>866</v>
      </c>
      <c r="G6" s="2">
        <f t="shared" si="0"/>
        <v>865</v>
      </c>
      <c r="H6" s="37">
        <f t="shared" si="0"/>
        <v>850</v>
      </c>
      <c r="I6" s="2">
        <f t="shared" si="0"/>
        <v>866</v>
      </c>
      <c r="J6" s="37">
        <f t="shared" si="0"/>
        <v>943</v>
      </c>
      <c r="L6" s="30"/>
      <c r="R6" s="36">
        <f>R4-R5</f>
        <v>1716</v>
      </c>
      <c r="S6" s="36">
        <f>S4-S5</f>
        <v>1798</v>
      </c>
      <c r="T6" s="36">
        <f>T4-T5</f>
        <v>1777</v>
      </c>
      <c r="U6" s="36">
        <f>U4-U5</f>
        <v>1715</v>
      </c>
      <c r="V6" s="36">
        <f>V4-V5</f>
        <v>1809</v>
      </c>
    </row>
    <row r="7" spans="2:31" x14ac:dyDescent="0.2">
      <c r="B7" s="1" t="s">
        <v>42</v>
      </c>
      <c r="C7" s="1">
        <v>677</v>
      </c>
      <c r="D7" s="33">
        <f>S7-C7</f>
        <v>739</v>
      </c>
      <c r="E7" s="1">
        <v>622</v>
      </c>
      <c r="F7" s="33">
        <f>T7-E7</f>
        <v>751</v>
      </c>
      <c r="G7" s="1">
        <v>662</v>
      </c>
      <c r="H7" s="33">
        <f>U7-G7</f>
        <v>680</v>
      </c>
      <c r="I7" s="1">
        <v>662</v>
      </c>
      <c r="J7" s="33">
        <f>V7-I7</f>
        <v>780</v>
      </c>
      <c r="R7" s="32">
        <v>1289</v>
      </c>
      <c r="S7" s="32">
        <v>1416</v>
      </c>
      <c r="T7" s="32">
        <v>1373</v>
      </c>
      <c r="U7" s="32">
        <v>1342</v>
      </c>
      <c r="V7" s="32">
        <v>1442</v>
      </c>
    </row>
    <row r="8" spans="2:31" s="2" customFormat="1" x14ac:dyDescent="0.2">
      <c r="B8" s="2" t="s">
        <v>43</v>
      </c>
      <c r="C8" s="2">
        <f t="shared" ref="C8:J8" si="1">C6-C7</f>
        <v>210</v>
      </c>
      <c r="D8" s="37">
        <f t="shared" si="1"/>
        <v>172</v>
      </c>
      <c r="E8" s="2">
        <f t="shared" si="1"/>
        <v>289</v>
      </c>
      <c r="F8" s="37">
        <f t="shared" si="1"/>
        <v>115</v>
      </c>
      <c r="G8" s="2">
        <f t="shared" si="1"/>
        <v>203</v>
      </c>
      <c r="H8" s="37">
        <f t="shared" si="1"/>
        <v>170</v>
      </c>
      <c r="I8" s="2">
        <f t="shared" si="1"/>
        <v>204</v>
      </c>
      <c r="J8" s="37">
        <f t="shared" si="1"/>
        <v>163</v>
      </c>
      <c r="L8" s="30"/>
      <c r="R8" s="36">
        <f>R6-R7</f>
        <v>427</v>
      </c>
      <c r="S8" s="36">
        <f>S6-S7</f>
        <v>382</v>
      </c>
      <c r="T8" s="36">
        <f>T6-T7</f>
        <v>404</v>
      </c>
      <c r="U8" s="36">
        <f>U6-U7</f>
        <v>373</v>
      </c>
      <c r="V8" s="36">
        <f>V6-V7</f>
        <v>367</v>
      </c>
    </row>
    <row r="9" spans="2:31" x14ac:dyDescent="0.2">
      <c r="B9" s="1" t="s">
        <v>44</v>
      </c>
      <c r="C9" s="1">
        <v>4</v>
      </c>
      <c r="D9" s="33">
        <f>S9-C9</f>
        <v>4</v>
      </c>
      <c r="E9" s="1">
        <v>2</v>
      </c>
      <c r="F9" s="33">
        <f>T9-E9</f>
        <v>1</v>
      </c>
      <c r="G9" s="1">
        <v>1</v>
      </c>
      <c r="H9" s="33">
        <f>U9-G9</f>
        <v>0</v>
      </c>
      <c r="I9" s="1">
        <v>0</v>
      </c>
      <c r="J9" s="33">
        <f t="shared" ref="J9:J10" si="2">V9-I9</f>
        <v>1</v>
      </c>
      <c r="R9" s="32">
        <v>5</v>
      </c>
      <c r="S9" s="32">
        <v>8</v>
      </c>
      <c r="T9" s="32">
        <v>3</v>
      </c>
      <c r="U9" s="32">
        <v>1</v>
      </c>
      <c r="V9" s="32">
        <v>1</v>
      </c>
    </row>
    <row r="10" spans="2:31" x14ac:dyDescent="0.2">
      <c r="B10" s="1" t="s">
        <v>45</v>
      </c>
      <c r="C10" s="1">
        <v>16</v>
      </c>
      <c r="D10" s="33">
        <f>S10-C10</f>
        <v>13</v>
      </c>
      <c r="E10" s="1">
        <v>16</v>
      </c>
      <c r="F10" s="33">
        <f>T10-E10</f>
        <v>18</v>
      </c>
      <c r="G10" s="1">
        <v>14</v>
      </c>
      <c r="H10" s="33">
        <f>U10-G10</f>
        <v>13</v>
      </c>
      <c r="I10" s="1">
        <v>15</v>
      </c>
      <c r="J10" s="33">
        <f t="shared" si="2"/>
        <v>16</v>
      </c>
      <c r="R10" s="32">
        <v>34</v>
      </c>
      <c r="S10" s="32">
        <v>29</v>
      </c>
      <c r="T10" s="32">
        <v>34</v>
      </c>
      <c r="U10" s="32">
        <v>27</v>
      </c>
      <c r="V10" s="32">
        <v>31</v>
      </c>
    </row>
    <row r="11" spans="2:31" x14ac:dyDescent="0.2">
      <c r="B11" s="1" t="s">
        <v>46</v>
      </c>
      <c r="C11" s="1">
        <f t="shared" ref="C11:J11" si="3">C8+C9-C10</f>
        <v>198</v>
      </c>
      <c r="D11" s="33">
        <f t="shared" si="3"/>
        <v>163</v>
      </c>
      <c r="E11" s="1">
        <f t="shared" si="3"/>
        <v>275</v>
      </c>
      <c r="F11" s="33">
        <f t="shared" si="3"/>
        <v>98</v>
      </c>
      <c r="G11" s="1">
        <f t="shared" si="3"/>
        <v>190</v>
      </c>
      <c r="H11" s="33">
        <f t="shared" si="3"/>
        <v>157</v>
      </c>
      <c r="I11" s="1">
        <f t="shared" si="3"/>
        <v>189</v>
      </c>
      <c r="J11" s="33">
        <f t="shared" si="3"/>
        <v>148</v>
      </c>
      <c r="R11" s="32">
        <f>R8+R9-R10</f>
        <v>398</v>
      </c>
      <c r="S11" s="32">
        <f>S8+S9-S10</f>
        <v>361</v>
      </c>
      <c r="T11" s="32">
        <f>T8+T9-T10</f>
        <v>373</v>
      </c>
      <c r="U11" s="32">
        <f>U8+U9-U10</f>
        <v>347</v>
      </c>
      <c r="V11" s="32">
        <f>V8+V9-V10</f>
        <v>337</v>
      </c>
    </row>
    <row r="12" spans="2:31" x14ac:dyDescent="0.2">
      <c r="B12" s="1" t="s">
        <v>47</v>
      </c>
      <c r="C12" s="1">
        <v>44</v>
      </c>
      <c r="D12" s="33">
        <f>S12-C12</f>
        <v>51</v>
      </c>
      <c r="E12" s="1">
        <v>51</v>
      </c>
      <c r="F12" s="33">
        <f>T12-E12</f>
        <v>12</v>
      </c>
      <c r="G12" s="1">
        <v>44</v>
      </c>
      <c r="H12" s="33">
        <f>U12-G12</f>
        <v>18</v>
      </c>
      <c r="I12" s="1">
        <v>37</v>
      </c>
      <c r="J12" s="33">
        <f>V12-I12</f>
        <v>46</v>
      </c>
      <c r="R12" s="32">
        <v>103</v>
      </c>
      <c r="S12" s="32">
        <v>95</v>
      </c>
      <c r="T12" s="32">
        <v>63</v>
      </c>
      <c r="U12" s="32">
        <v>62</v>
      </c>
      <c r="V12" s="32">
        <v>83</v>
      </c>
    </row>
    <row r="13" spans="2:31" s="2" customFormat="1" x14ac:dyDescent="0.2">
      <c r="B13" s="2" t="s">
        <v>48</v>
      </c>
      <c r="C13" s="2">
        <f t="shared" ref="C13:J13" si="4">C11-C12</f>
        <v>154</v>
      </c>
      <c r="D13" s="37">
        <f t="shared" si="4"/>
        <v>112</v>
      </c>
      <c r="E13" s="2">
        <f t="shared" si="4"/>
        <v>224</v>
      </c>
      <c r="F13" s="37">
        <f t="shared" si="4"/>
        <v>86</v>
      </c>
      <c r="G13" s="2">
        <f t="shared" si="4"/>
        <v>146</v>
      </c>
      <c r="H13" s="37">
        <f t="shared" si="4"/>
        <v>139</v>
      </c>
      <c r="I13" s="2">
        <f t="shared" si="4"/>
        <v>152</v>
      </c>
      <c r="J13" s="37">
        <f t="shared" si="4"/>
        <v>102</v>
      </c>
      <c r="L13" s="30"/>
      <c r="R13" s="36">
        <f>R11-R12</f>
        <v>295</v>
      </c>
      <c r="S13" s="36">
        <f>S11-S12</f>
        <v>266</v>
      </c>
      <c r="T13" s="36">
        <f>T11-T12</f>
        <v>310</v>
      </c>
      <c r="U13" s="36">
        <f>U11-U12</f>
        <v>285</v>
      </c>
      <c r="V13" s="36">
        <f>V11-V12</f>
        <v>254</v>
      </c>
    </row>
    <row r="14" spans="2:31" x14ac:dyDescent="0.2">
      <c r="B14" s="1" t="s">
        <v>49</v>
      </c>
      <c r="C14" s="34">
        <f t="shared" ref="C14:J14" si="5">C13/C15</f>
        <v>0.14180478821362799</v>
      </c>
      <c r="D14" s="45">
        <f t="shared" si="5"/>
        <v>0.10313075506445672</v>
      </c>
      <c r="E14" s="34">
        <f t="shared" si="5"/>
        <v>0.20550458715596331</v>
      </c>
      <c r="F14" s="45">
        <f t="shared" si="5"/>
        <v>7.8826764436296978E-2</v>
      </c>
      <c r="G14" s="34">
        <f t="shared" si="5"/>
        <v>0.13345521023765997</v>
      </c>
      <c r="H14" s="45">
        <f t="shared" si="5"/>
        <v>0.12870370370370371</v>
      </c>
      <c r="I14" s="34">
        <f t="shared" si="5"/>
        <v>0.14858260019550343</v>
      </c>
      <c r="J14" s="45">
        <f t="shared" si="5"/>
        <v>0.1</v>
      </c>
      <c r="R14" s="34">
        <f t="shared" ref="R14:S14" si="6">R13/R15</f>
        <v>0.2723915050784857</v>
      </c>
      <c r="S14" s="34">
        <f t="shared" si="6"/>
        <v>0.24493554327808473</v>
      </c>
      <c r="T14" s="34">
        <f>T13/T15</f>
        <v>0.28414298808432631</v>
      </c>
      <c r="U14" s="34">
        <f>U13/U15</f>
        <v>0.2638888888888889</v>
      </c>
      <c r="V14" s="69">
        <f>V13/V15</f>
        <v>0.24901960784313726</v>
      </c>
    </row>
    <row r="15" spans="2:31" s="32" customFormat="1" x14ac:dyDescent="0.2">
      <c r="B15" s="32" t="s">
        <v>4</v>
      </c>
      <c r="C15" s="32">
        <v>1086</v>
      </c>
      <c r="D15" s="33">
        <f>S15</f>
        <v>1086</v>
      </c>
      <c r="E15" s="32">
        <v>1090</v>
      </c>
      <c r="F15" s="33">
        <f>T15</f>
        <v>1091</v>
      </c>
      <c r="G15" s="32">
        <v>1094</v>
      </c>
      <c r="H15" s="33">
        <f>U15</f>
        <v>1080</v>
      </c>
      <c r="I15" s="32">
        <v>1023</v>
      </c>
      <c r="J15" s="33">
        <f>V15</f>
        <v>1020</v>
      </c>
      <c r="L15" s="33"/>
      <c r="R15" s="32">
        <v>1083</v>
      </c>
      <c r="S15" s="32">
        <v>1086</v>
      </c>
      <c r="T15" s="32">
        <v>1091</v>
      </c>
      <c r="U15" s="32">
        <v>1080</v>
      </c>
      <c r="V15" s="32">
        <v>1020</v>
      </c>
    </row>
    <row r="17" spans="2:22" x14ac:dyDescent="0.2">
      <c r="B17" s="1" t="s">
        <v>52</v>
      </c>
      <c r="C17" s="31">
        <f t="shared" ref="C17:I17" si="7">C6/C4</f>
        <v>0.92685475444096133</v>
      </c>
      <c r="D17" s="43">
        <f t="shared" si="7"/>
        <v>0.93054136874361593</v>
      </c>
      <c r="E17" s="31">
        <f t="shared" si="7"/>
        <v>0.9343589743589743</v>
      </c>
      <c r="F17" s="43">
        <f t="shared" si="7"/>
        <v>0.93318965517241381</v>
      </c>
      <c r="G17" s="31">
        <f t="shared" si="7"/>
        <v>0.9231590181430096</v>
      </c>
      <c r="H17" s="43">
        <f t="shared" si="7"/>
        <v>0.93509350935093505</v>
      </c>
      <c r="I17" s="31">
        <f t="shared" si="7"/>
        <v>0.9271948608137045</v>
      </c>
      <c r="J17" s="43">
        <f t="shared" ref="J17" si="8">J6/J4</f>
        <v>0.93089832181638699</v>
      </c>
      <c r="R17" s="31">
        <f t="shared" ref="R17:S17" si="9">R6/R4</f>
        <v>0.92957746478873238</v>
      </c>
      <c r="S17" s="31">
        <f t="shared" si="9"/>
        <v>0.92871900826446285</v>
      </c>
      <c r="T17" s="31">
        <f>T6/T4</f>
        <v>0.93378875459800315</v>
      </c>
      <c r="U17" s="31">
        <f>U6/U4</f>
        <v>0.92903575297941499</v>
      </c>
      <c r="V17" s="31">
        <f t="shared" ref="V17" si="10">V6/V4</f>
        <v>0.92912172573189522</v>
      </c>
    </row>
    <row r="18" spans="2:22" x14ac:dyDescent="0.2">
      <c r="B18" s="1" t="s">
        <v>53</v>
      </c>
      <c r="C18" s="31">
        <f t="shared" ref="C18:I18" si="11">C8/C4</f>
        <v>0.21943573667711599</v>
      </c>
      <c r="D18" s="43">
        <f t="shared" si="11"/>
        <v>0.17568947906026558</v>
      </c>
      <c r="E18" s="31">
        <f t="shared" si="11"/>
        <v>0.29641025641025642</v>
      </c>
      <c r="F18" s="43">
        <f t="shared" si="11"/>
        <v>0.12392241379310345</v>
      </c>
      <c r="G18" s="31">
        <f t="shared" si="11"/>
        <v>0.21664887940234792</v>
      </c>
      <c r="H18" s="43">
        <f t="shared" si="11"/>
        <v>0.18701870187018702</v>
      </c>
      <c r="I18" s="31">
        <f t="shared" si="11"/>
        <v>0.21841541755888652</v>
      </c>
      <c r="J18" s="43">
        <f t="shared" ref="J18" si="12">J8/J4</f>
        <v>0.16090819348469892</v>
      </c>
      <c r="R18" s="31">
        <f t="shared" ref="R18:S18" si="13">R8/R4</f>
        <v>0.2313109425785482</v>
      </c>
      <c r="S18" s="31">
        <f t="shared" si="13"/>
        <v>0.19731404958677687</v>
      </c>
      <c r="T18" s="31">
        <f>T8/T4</f>
        <v>0.21229637414608513</v>
      </c>
      <c r="U18" s="31">
        <f>U8/U4</f>
        <v>0.20205850487540628</v>
      </c>
      <c r="V18" s="31">
        <f t="shared" ref="V18" si="14">V8/V4</f>
        <v>0.18849512069851052</v>
      </c>
    </row>
    <row r="19" spans="2:22" x14ac:dyDescent="0.2">
      <c r="B19" s="1" t="s">
        <v>54</v>
      </c>
      <c r="C19" s="31">
        <f t="shared" ref="C19:I19" si="15">C13/C4</f>
        <v>0.16091954022988506</v>
      </c>
      <c r="D19" s="43">
        <f t="shared" si="15"/>
        <v>0.11440245148110317</v>
      </c>
      <c r="E19" s="31">
        <f t="shared" si="15"/>
        <v>0.22974358974358974</v>
      </c>
      <c r="F19" s="43">
        <f t="shared" si="15"/>
        <v>9.2672413793103453E-2</v>
      </c>
      <c r="G19" s="31">
        <f t="shared" si="15"/>
        <v>0.15581643543223053</v>
      </c>
      <c r="H19" s="43">
        <f t="shared" si="15"/>
        <v>0.15291529152915292</v>
      </c>
      <c r="I19" s="31">
        <f t="shared" si="15"/>
        <v>0.16274089935760172</v>
      </c>
      <c r="J19" s="43">
        <f t="shared" ref="J19" si="16">J13/J4</f>
        <v>0.10069101678183613</v>
      </c>
      <c r="R19" s="31">
        <f t="shared" ref="R19:S19" si="17">R13/R4</f>
        <v>0.15980498374864571</v>
      </c>
      <c r="S19" s="31">
        <f t="shared" si="17"/>
        <v>0.13739669421487602</v>
      </c>
      <c r="T19" s="31">
        <f>T13/T4</f>
        <v>0.16290068313189701</v>
      </c>
      <c r="U19" s="31">
        <f>U13/U4</f>
        <v>0.1543878656554713</v>
      </c>
      <c r="V19" s="31">
        <f t="shared" ref="V19" si="18">V13/V4</f>
        <v>0.13045711350796096</v>
      </c>
    </row>
    <row r="20" spans="2:22" x14ac:dyDescent="0.2">
      <c r="B20" s="1" t="s">
        <v>100</v>
      </c>
      <c r="C20" s="31">
        <f t="shared" ref="C20:I20" si="19">C12/C11</f>
        <v>0.22222222222222221</v>
      </c>
      <c r="D20" s="43">
        <f t="shared" si="19"/>
        <v>0.31288343558282211</v>
      </c>
      <c r="E20" s="31">
        <f t="shared" si="19"/>
        <v>0.18545454545454546</v>
      </c>
      <c r="F20" s="43">
        <f t="shared" si="19"/>
        <v>0.12244897959183673</v>
      </c>
      <c r="G20" s="31">
        <f t="shared" si="19"/>
        <v>0.23157894736842105</v>
      </c>
      <c r="H20" s="43">
        <f t="shared" si="19"/>
        <v>0.11464968152866242</v>
      </c>
      <c r="I20" s="31">
        <f t="shared" si="19"/>
        <v>0.19576719576719576</v>
      </c>
      <c r="J20" s="43">
        <f t="shared" ref="J20" si="20">J12/J11</f>
        <v>0.3108108108108108</v>
      </c>
      <c r="R20" s="31">
        <f t="shared" ref="R20:U20" si="21">R12/R11</f>
        <v>0.25879396984924624</v>
      </c>
      <c r="S20" s="31">
        <f t="shared" si="21"/>
        <v>0.26315789473684209</v>
      </c>
      <c r="T20" s="31">
        <f t="shared" si="21"/>
        <v>0.16890080428954424</v>
      </c>
      <c r="U20" s="31">
        <f t="shared" si="21"/>
        <v>0.17867435158501441</v>
      </c>
      <c r="V20" s="31">
        <f t="shared" ref="V20" si="22">V12/V11</f>
        <v>0.24629080118694363</v>
      </c>
    </row>
    <row r="22" spans="2:22" s="2" customFormat="1" x14ac:dyDescent="0.2">
      <c r="B22" s="2" t="s">
        <v>50</v>
      </c>
      <c r="C22" s="51" t="s">
        <v>92</v>
      </c>
      <c r="D22" s="52" t="s">
        <v>92</v>
      </c>
      <c r="E22" s="42">
        <f t="shared" ref="E22:J22" si="23">E4/C4-1</f>
        <v>1.8808777429467183E-2</v>
      </c>
      <c r="F22" s="53">
        <f t="shared" si="23"/>
        <v>-5.2093973442288055E-2</v>
      </c>
      <c r="G22" s="42">
        <f t="shared" si="23"/>
        <v>-3.8974358974358969E-2</v>
      </c>
      <c r="H22" s="53">
        <f t="shared" si="23"/>
        <v>-2.0474137931034475E-2</v>
      </c>
      <c r="I22" s="42">
        <f t="shared" si="23"/>
        <v>-3.2017075773745907E-3</v>
      </c>
      <c r="J22" s="53">
        <f t="shared" si="23"/>
        <v>0.11441144114411439</v>
      </c>
      <c r="L22" s="30"/>
      <c r="R22" s="19" t="s">
        <v>92</v>
      </c>
      <c r="S22" s="42">
        <f t="shared" ref="S22:T22" si="24">S4/R4-1</f>
        <v>4.8754062838569867E-2</v>
      </c>
      <c r="T22" s="42">
        <f t="shared" si="24"/>
        <v>-1.7045454545454586E-2</v>
      </c>
      <c r="U22" s="42">
        <f>U4/T4-1</f>
        <v>-2.9952706253284278E-2</v>
      </c>
      <c r="V22" s="42">
        <f t="shared" ref="V22" si="25">V4/U4-1</f>
        <v>5.4712892741061836E-2</v>
      </c>
    </row>
    <row r="23" spans="2:22" x14ac:dyDescent="0.2">
      <c r="B23" s="1" t="s">
        <v>51</v>
      </c>
      <c r="C23" s="19" t="s">
        <v>92</v>
      </c>
      <c r="D23" s="43">
        <f t="shared" ref="D23:J23" si="26">D4/C4-1</f>
        <v>2.2988505747126409E-2</v>
      </c>
      <c r="E23" s="31">
        <f t="shared" si="26"/>
        <v>-4.0858018386108474E-3</v>
      </c>
      <c r="F23" s="43">
        <f t="shared" si="26"/>
        <v>-4.8205128205128234E-2</v>
      </c>
      <c r="G23" s="31">
        <f t="shared" si="26"/>
        <v>9.6982758620689502E-3</v>
      </c>
      <c r="H23" s="43">
        <f t="shared" si="26"/>
        <v>-2.9882604055496254E-2</v>
      </c>
      <c r="I23" s="31">
        <f t="shared" si="26"/>
        <v>2.7502750275027577E-2</v>
      </c>
      <c r="J23" s="43">
        <f t="shared" si="26"/>
        <v>8.4582441113490336E-2</v>
      </c>
      <c r="R23" s="19" t="s">
        <v>92</v>
      </c>
      <c r="S23" s="19" t="s">
        <v>92</v>
      </c>
      <c r="T23" s="19" t="s">
        <v>92</v>
      </c>
      <c r="U23" s="19" t="s">
        <v>92</v>
      </c>
      <c r="V23" s="19" t="s">
        <v>92</v>
      </c>
    </row>
    <row r="27" spans="2:22" x14ac:dyDescent="0.2">
      <c r="B27" s="35" t="s">
        <v>69</v>
      </c>
    </row>
    <row r="28" spans="2:22" x14ac:dyDescent="0.2">
      <c r="B28" s="1" t="s">
        <v>70</v>
      </c>
      <c r="C28" s="32">
        <f>2002+238</f>
        <v>2240</v>
      </c>
      <c r="D28" s="33">
        <f>2098+228</f>
        <v>2326</v>
      </c>
      <c r="E28" s="32">
        <f>2059+216</f>
        <v>2275</v>
      </c>
      <c r="F28" s="33">
        <f>T28</f>
        <v>2174</v>
      </c>
      <c r="G28" s="32">
        <f>1843+188</f>
        <v>2031</v>
      </c>
      <c r="H28" s="33">
        <f>1877+190</f>
        <v>2067</v>
      </c>
      <c r="I28" s="32">
        <f>2082+281</f>
        <v>2363</v>
      </c>
      <c r="J28" s="23">
        <f>V28</f>
        <v>2710</v>
      </c>
      <c r="R28" s="32">
        <f>2008+260</f>
        <v>2268</v>
      </c>
      <c r="S28" s="32">
        <f>2098+228</f>
        <v>2326</v>
      </c>
      <c r="T28" s="32">
        <f>1962+212</f>
        <v>2174</v>
      </c>
      <c r="U28" s="32">
        <f>1877+190</f>
        <v>2067</v>
      </c>
      <c r="V28" s="1">
        <f>2416+294</f>
        <v>2710</v>
      </c>
    </row>
    <row r="29" spans="2:22" x14ac:dyDescent="0.2">
      <c r="B29" s="1" t="s">
        <v>71</v>
      </c>
      <c r="C29" s="32">
        <v>131</v>
      </c>
      <c r="D29" s="33">
        <v>117</v>
      </c>
      <c r="E29" s="32">
        <v>198</v>
      </c>
      <c r="F29" s="33">
        <f>T29</f>
        <v>173</v>
      </c>
      <c r="G29" s="32">
        <v>165</v>
      </c>
      <c r="H29" s="33">
        <v>164</v>
      </c>
      <c r="I29" s="32">
        <v>155</v>
      </c>
      <c r="J29" s="23">
        <f>-V29</f>
        <v>-152</v>
      </c>
      <c r="R29" s="32">
        <v>129</v>
      </c>
      <c r="S29" s="32">
        <v>117</v>
      </c>
      <c r="T29" s="32">
        <v>173</v>
      </c>
      <c r="U29" s="32">
        <v>164</v>
      </c>
      <c r="V29" s="1">
        <v>152</v>
      </c>
    </row>
    <row r="30" spans="2:22" s="2" customFormat="1" x14ac:dyDescent="0.2">
      <c r="B30" s="2" t="s">
        <v>72</v>
      </c>
      <c r="C30" s="36">
        <v>0</v>
      </c>
      <c r="D30" s="37">
        <v>0</v>
      </c>
      <c r="E30" s="36">
        <v>0</v>
      </c>
      <c r="F30" s="37">
        <f>T30</f>
        <v>0</v>
      </c>
      <c r="G30" s="36">
        <v>19</v>
      </c>
      <c r="H30" s="37">
        <v>21</v>
      </c>
      <c r="I30" s="36">
        <v>4</v>
      </c>
      <c r="J30" s="30">
        <f>V30</f>
        <v>4</v>
      </c>
      <c r="L30" s="30"/>
      <c r="R30" s="36">
        <v>0</v>
      </c>
      <c r="S30" s="36">
        <v>0</v>
      </c>
      <c r="T30" s="36">
        <v>0</v>
      </c>
      <c r="U30" s="36">
        <v>21</v>
      </c>
      <c r="V30" s="2">
        <v>4</v>
      </c>
    </row>
    <row r="31" spans="2:22" s="2" customFormat="1" x14ac:dyDescent="0.2">
      <c r="B31" s="2" t="s">
        <v>73</v>
      </c>
      <c r="C31" s="36">
        <v>3</v>
      </c>
      <c r="D31" s="37">
        <v>4</v>
      </c>
      <c r="E31" s="36">
        <v>3</v>
      </c>
      <c r="F31" s="37">
        <f>T31</f>
        <v>1</v>
      </c>
      <c r="G31" s="36">
        <v>1</v>
      </c>
      <c r="H31" s="37">
        <v>0</v>
      </c>
      <c r="I31" s="36">
        <v>0</v>
      </c>
      <c r="J31" s="23">
        <f t="shared" ref="J31:J38" si="27">-V31</f>
        <v>0</v>
      </c>
      <c r="L31" s="30"/>
      <c r="R31" s="36">
        <v>1</v>
      </c>
      <c r="S31" s="36">
        <v>4</v>
      </c>
      <c r="T31" s="36">
        <v>1</v>
      </c>
      <c r="U31" s="36">
        <v>0</v>
      </c>
      <c r="V31" s="2">
        <v>0</v>
      </c>
    </row>
    <row r="32" spans="2:22" x14ac:dyDescent="0.2">
      <c r="B32" s="1" t="s">
        <v>74</v>
      </c>
      <c r="C32" s="32">
        <v>40</v>
      </c>
      <c r="D32" s="33">
        <v>73</v>
      </c>
      <c r="E32" s="32">
        <v>83</v>
      </c>
      <c r="F32" s="33">
        <f t="shared" ref="F32:F38" si="28">T32</f>
        <v>86</v>
      </c>
      <c r="G32" s="32">
        <v>101</v>
      </c>
      <c r="H32" s="33">
        <v>113</v>
      </c>
      <c r="I32" s="32">
        <v>116</v>
      </c>
      <c r="J32" s="23">
        <f t="shared" si="27"/>
        <v>-128</v>
      </c>
      <c r="R32" s="32">
        <v>2</v>
      </c>
      <c r="S32" s="32">
        <v>73</v>
      </c>
      <c r="T32" s="32">
        <v>86</v>
      </c>
      <c r="U32" s="32">
        <v>113</v>
      </c>
      <c r="V32" s="1">
        <v>128</v>
      </c>
    </row>
    <row r="33" spans="2:22" x14ac:dyDescent="0.2">
      <c r="B33" s="1" t="s">
        <v>75</v>
      </c>
      <c r="C33" s="32">
        <v>57</v>
      </c>
      <c r="D33" s="33">
        <v>31</v>
      </c>
      <c r="E33" s="32">
        <v>26</v>
      </c>
      <c r="F33" s="33">
        <f t="shared" si="28"/>
        <v>35</v>
      </c>
      <c r="G33" s="32">
        <v>36</v>
      </c>
      <c r="H33" s="33">
        <v>40</v>
      </c>
      <c r="I33" s="32">
        <v>34</v>
      </c>
      <c r="J33" s="23">
        <f t="shared" si="27"/>
        <v>-19</v>
      </c>
      <c r="R33" s="32">
        <v>51</v>
      </c>
      <c r="S33" s="32">
        <v>31</v>
      </c>
      <c r="T33" s="32">
        <v>35</v>
      </c>
      <c r="U33" s="32">
        <v>40</v>
      </c>
      <c r="V33" s="1">
        <v>19</v>
      </c>
    </row>
    <row r="34" spans="2:22" x14ac:dyDescent="0.2">
      <c r="B34" s="1" t="s">
        <v>76</v>
      </c>
      <c r="C34" s="32">
        <f t="shared" ref="C34:J34" si="29">SUM(C28:C33)</f>
        <v>2471</v>
      </c>
      <c r="D34" s="33">
        <f t="shared" si="29"/>
        <v>2551</v>
      </c>
      <c r="E34" s="32">
        <f t="shared" si="29"/>
        <v>2585</v>
      </c>
      <c r="F34" s="33">
        <f t="shared" si="29"/>
        <v>2469</v>
      </c>
      <c r="G34" s="32">
        <f t="shared" si="29"/>
        <v>2353</v>
      </c>
      <c r="H34" s="33">
        <f t="shared" si="29"/>
        <v>2405</v>
      </c>
      <c r="I34" s="32">
        <f t="shared" si="29"/>
        <v>2672</v>
      </c>
      <c r="J34" s="33">
        <f t="shared" si="29"/>
        <v>2415</v>
      </c>
      <c r="R34" s="32">
        <f>SUM(R28:R33)</f>
        <v>2451</v>
      </c>
      <c r="S34" s="32">
        <f>SUM(S28:S33)</f>
        <v>2551</v>
      </c>
      <c r="T34" s="32">
        <f>SUM(T28:T33)</f>
        <v>2469</v>
      </c>
      <c r="U34" s="32">
        <f>SUM(U28:U33)</f>
        <v>2405</v>
      </c>
      <c r="V34" s="32">
        <f>SUM(V28:V33)</f>
        <v>3013</v>
      </c>
    </row>
    <row r="35" spans="2:22" x14ac:dyDescent="0.2">
      <c r="B35" s="1" t="s">
        <v>74</v>
      </c>
      <c r="C35" s="32">
        <v>402</v>
      </c>
      <c r="D35" s="33">
        <v>364</v>
      </c>
      <c r="E35" s="32">
        <v>329</v>
      </c>
      <c r="F35" s="33">
        <f t="shared" si="28"/>
        <v>302</v>
      </c>
      <c r="G35" s="32">
        <v>290</v>
      </c>
      <c r="H35" s="33">
        <v>295</v>
      </c>
      <c r="I35" s="1">
        <v>329</v>
      </c>
      <c r="J35" s="23">
        <f t="shared" si="27"/>
        <v>-335</v>
      </c>
      <c r="R35" s="32">
        <v>460</v>
      </c>
      <c r="S35" s="32">
        <v>364</v>
      </c>
      <c r="T35" s="32">
        <v>302</v>
      </c>
      <c r="U35" s="32">
        <v>295</v>
      </c>
      <c r="V35" s="1">
        <v>335</v>
      </c>
    </row>
    <row r="36" spans="2:22" x14ac:dyDescent="0.2">
      <c r="B36" s="1" t="s">
        <v>77</v>
      </c>
      <c r="C36" s="32">
        <v>4</v>
      </c>
      <c r="D36" s="33">
        <v>3</v>
      </c>
      <c r="E36" s="32">
        <v>15</v>
      </c>
      <c r="F36" s="33">
        <f t="shared" si="28"/>
        <v>5</v>
      </c>
      <c r="G36" s="32">
        <v>13</v>
      </c>
      <c r="H36" s="33">
        <v>37</v>
      </c>
      <c r="I36" s="1">
        <v>28</v>
      </c>
      <c r="J36" s="23">
        <f t="shared" si="27"/>
        <v>-39</v>
      </c>
      <c r="R36" s="32">
        <v>4</v>
      </c>
      <c r="S36" s="32">
        <v>3</v>
      </c>
      <c r="T36" s="32">
        <v>5</v>
      </c>
      <c r="U36" s="32">
        <v>37</v>
      </c>
      <c r="V36" s="1">
        <v>39</v>
      </c>
    </row>
    <row r="37" spans="2:22" s="2" customFormat="1" x14ac:dyDescent="0.2">
      <c r="B37" s="2" t="s">
        <v>6</v>
      </c>
      <c r="C37" s="36">
        <v>351</v>
      </c>
      <c r="D37" s="37">
        <v>371</v>
      </c>
      <c r="E37" s="36">
        <v>912</v>
      </c>
      <c r="F37" s="37">
        <f>T37</f>
        <v>831</v>
      </c>
      <c r="G37" s="36">
        <v>693</v>
      </c>
      <c r="H37" s="37">
        <v>553</v>
      </c>
      <c r="I37" s="2">
        <v>515</v>
      </c>
      <c r="J37" s="30">
        <f>V37</f>
        <v>489</v>
      </c>
      <c r="L37" s="30"/>
      <c r="M37" s="1"/>
      <c r="N37" s="1"/>
      <c r="O37" s="1"/>
      <c r="P37" s="1"/>
      <c r="Q37" s="1"/>
      <c r="R37" s="36">
        <v>272</v>
      </c>
      <c r="S37" s="36">
        <v>371</v>
      </c>
      <c r="T37" s="36">
        <v>831</v>
      </c>
      <c r="U37" s="36">
        <v>553</v>
      </c>
      <c r="V37" s="2">
        <v>489</v>
      </c>
    </row>
    <row r="38" spans="2:22" x14ac:dyDescent="0.2">
      <c r="B38" s="1" t="s">
        <v>78</v>
      </c>
      <c r="C38" s="32">
        <v>0</v>
      </c>
      <c r="D38" s="33">
        <v>63</v>
      </c>
      <c r="E38" s="32">
        <v>0</v>
      </c>
      <c r="F38" s="33">
        <f t="shared" si="28"/>
        <v>108</v>
      </c>
      <c r="G38" s="32">
        <v>95</v>
      </c>
      <c r="H38" s="33">
        <v>39</v>
      </c>
      <c r="I38" s="1">
        <v>2</v>
      </c>
      <c r="J38" s="23">
        <f t="shared" si="27"/>
        <v>0</v>
      </c>
      <c r="R38" s="32">
        <v>113</v>
      </c>
      <c r="S38" s="32">
        <v>63</v>
      </c>
      <c r="T38" s="32">
        <v>108</v>
      </c>
      <c r="U38" s="32">
        <v>39</v>
      </c>
      <c r="V38" s="1">
        <v>0</v>
      </c>
    </row>
    <row r="39" spans="2:22" x14ac:dyDescent="0.2">
      <c r="B39" s="1" t="s">
        <v>79</v>
      </c>
      <c r="C39" s="32">
        <f t="shared" ref="C39:J39" si="30">C34+SUM(C35:C38)</f>
        <v>3228</v>
      </c>
      <c r="D39" s="33">
        <f t="shared" si="30"/>
        <v>3352</v>
      </c>
      <c r="E39" s="32">
        <f t="shared" si="30"/>
        <v>3841</v>
      </c>
      <c r="F39" s="33">
        <f t="shared" si="30"/>
        <v>3715</v>
      </c>
      <c r="G39" s="32">
        <f t="shared" si="30"/>
        <v>3444</v>
      </c>
      <c r="H39" s="33">
        <f t="shared" si="30"/>
        <v>3329</v>
      </c>
      <c r="I39" s="32">
        <f t="shared" si="30"/>
        <v>3546</v>
      </c>
      <c r="J39" s="33">
        <f t="shared" si="30"/>
        <v>2530</v>
      </c>
      <c r="R39" s="32">
        <f>R34+SUM(R35:R38)</f>
        <v>3300</v>
      </c>
      <c r="S39" s="32">
        <f>S34+SUM(S35:S38)</f>
        <v>3352</v>
      </c>
      <c r="T39" s="32">
        <f>T34+SUM(T35:T38)</f>
        <v>3715</v>
      </c>
      <c r="U39" s="32">
        <f>U34+SUM(U35:U38)</f>
        <v>3329</v>
      </c>
      <c r="V39" s="32">
        <f>V34+SUM(V35:V38)</f>
        <v>3876</v>
      </c>
    </row>
    <row r="40" spans="2:22" x14ac:dyDescent="0.2">
      <c r="G40" s="32"/>
      <c r="H40" s="33"/>
      <c r="R40" s="32"/>
      <c r="S40" s="32"/>
      <c r="T40" s="32"/>
      <c r="U40" s="32"/>
    </row>
    <row r="41" spans="2:22" x14ac:dyDescent="0.2">
      <c r="B41" s="1" t="s">
        <v>80</v>
      </c>
      <c r="C41" s="32">
        <v>276</v>
      </c>
      <c r="D41" s="33">
        <v>291</v>
      </c>
      <c r="E41" s="32">
        <v>242</v>
      </c>
      <c r="F41" s="33">
        <f t="shared" ref="F41:F46" si="31">T41</f>
        <v>297</v>
      </c>
      <c r="G41" s="32">
        <v>529</v>
      </c>
      <c r="H41" s="33">
        <v>592</v>
      </c>
      <c r="I41" s="32">
        <v>311</v>
      </c>
      <c r="J41" s="23">
        <f t="shared" ref="J41:J46" si="32">V41</f>
        <v>368</v>
      </c>
      <c r="R41" s="32">
        <v>249</v>
      </c>
      <c r="S41" s="32">
        <v>291</v>
      </c>
      <c r="T41" s="32">
        <v>297</v>
      </c>
      <c r="U41" s="32">
        <v>592</v>
      </c>
      <c r="V41" s="1">
        <v>368</v>
      </c>
    </row>
    <row r="42" spans="2:22" x14ac:dyDescent="0.2">
      <c r="B42" s="1" t="s">
        <v>77</v>
      </c>
      <c r="C42" s="32">
        <v>47</v>
      </c>
      <c r="D42" s="33">
        <v>32</v>
      </c>
      <c r="E42" s="32">
        <v>46</v>
      </c>
      <c r="F42" s="33">
        <f t="shared" si="31"/>
        <v>13</v>
      </c>
      <c r="G42" s="32">
        <v>24</v>
      </c>
      <c r="H42" s="33">
        <v>31</v>
      </c>
      <c r="I42" s="32">
        <v>23</v>
      </c>
      <c r="J42" s="23">
        <f t="shared" si="32"/>
        <v>13</v>
      </c>
      <c r="R42" s="32">
        <v>39</v>
      </c>
      <c r="S42" s="32">
        <v>32</v>
      </c>
      <c r="T42" s="32">
        <v>13</v>
      </c>
      <c r="U42" s="32">
        <v>31</v>
      </c>
      <c r="V42" s="1">
        <v>13</v>
      </c>
    </row>
    <row r="43" spans="2:22" s="2" customFormat="1" x14ac:dyDescent="0.2">
      <c r="B43" s="2" t="s">
        <v>81</v>
      </c>
      <c r="C43" s="36">
        <v>5</v>
      </c>
      <c r="D43" s="37">
        <v>122</v>
      </c>
      <c r="E43" s="36">
        <v>149</v>
      </c>
      <c r="F43" s="37">
        <f>T43</f>
        <v>20</v>
      </c>
      <c r="G43" s="36">
        <v>65</v>
      </c>
      <c r="H43" s="37">
        <v>65</v>
      </c>
      <c r="I43" s="36">
        <v>42</v>
      </c>
      <c r="J43" s="30">
        <f t="shared" si="32"/>
        <v>178</v>
      </c>
      <c r="L43" s="30"/>
      <c r="M43" s="1"/>
      <c r="N43" s="1"/>
      <c r="O43" s="1"/>
      <c r="P43" s="1"/>
      <c r="Q43" s="1"/>
      <c r="R43" s="36">
        <v>8</v>
      </c>
      <c r="S43" s="36">
        <v>122</v>
      </c>
      <c r="T43" s="36">
        <v>20</v>
      </c>
      <c r="U43" s="36">
        <v>65</v>
      </c>
      <c r="V43" s="2">
        <v>178</v>
      </c>
    </row>
    <row r="44" spans="2:22" x14ac:dyDescent="0.2">
      <c r="B44" s="1" t="s">
        <v>82</v>
      </c>
      <c r="C44" s="32">
        <v>15</v>
      </c>
      <c r="D44" s="33">
        <v>11</v>
      </c>
      <c r="E44" s="32">
        <v>9</v>
      </c>
      <c r="F44" s="33">
        <f t="shared" si="31"/>
        <v>19</v>
      </c>
      <c r="G44" s="32">
        <v>14</v>
      </c>
      <c r="H44" s="33">
        <v>68</v>
      </c>
      <c r="I44" s="32">
        <v>44</v>
      </c>
      <c r="J44" s="23">
        <f t="shared" si="32"/>
        <v>33</v>
      </c>
      <c r="R44" s="32">
        <v>26</v>
      </c>
      <c r="S44" s="32">
        <v>11</v>
      </c>
      <c r="T44" s="32">
        <v>19</v>
      </c>
      <c r="U44" s="32">
        <v>68</v>
      </c>
      <c r="V44" s="1">
        <v>33</v>
      </c>
    </row>
    <row r="45" spans="2:22" x14ac:dyDescent="0.2">
      <c r="B45" s="1" t="s">
        <v>83</v>
      </c>
      <c r="C45" s="32">
        <v>660</v>
      </c>
      <c r="D45" s="33">
        <v>637</v>
      </c>
      <c r="E45" s="32">
        <v>691</v>
      </c>
      <c r="F45" s="33">
        <f t="shared" si="31"/>
        <v>593</v>
      </c>
      <c r="G45" s="32">
        <v>638</v>
      </c>
      <c r="H45" s="33">
        <v>611</v>
      </c>
      <c r="I45" s="32">
        <v>705</v>
      </c>
      <c r="J45" s="23">
        <f t="shared" si="32"/>
        <v>734</v>
      </c>
      <c r="R45" s="32">
        <v>620</v>
      </c>
      <c r="S45" s="32">
        <v>637</v>
      </c>
      <c r="T45" s="32">
        <v>593</v>
      </c>
      <c r="U45" s="32">
        <v>611</v>
      </c>
      <c r="V45" s="1">
        <v>734</v>
      </c>
    </row>
    <row r="46" spans="2:22" x14ac:dyDescent="0.2">
      <c r="B46" s="1" t="s">
        <v>86</v>
      </c>
      <c r="C46" s="32">
        <v>0</v>
      </c>
      <c r="D46" s="33">
        <v>33</v>
      </c>
      <c r="E46" s="32">
        <v>0</v>
      </c>
      <c r="F46" s="33">
        <f t="shared" si="31"/>
        <v>73</v>
      </c>
      <c r="G46" s="32">
        <v>52</v>
      </c>
      <c r="H46" s="33">
        <v>13</v>
      </c>
      <c r="I46" s="32">
        <v>0</v>
      </c>
      <c r="J46" s="23">
        <f t="shared" si="32"/>
        <v>0</v>
      </c>
      <c r="R46" s="32">
        <v>63</v>
      </c>
      <c r="S46" s="32">
        <v>33</v>
      </c>
      <c r="T46" s="32">
        <v>73</v>
      </c>
      <c r="U46" s="32">
        <v>13</v>
      </c>
      <c r="V46" s="1">
        <v>0</v>
      </c>
    </row>
    <row r="47" spans="2:22" x14ac:dyDescent="0.2">
      <c r="B47" s="1" t="s">
        <v>87</v>
      </c>
      <c r="C47" s="32">
        <f t="shared" ref="C47:J47" si="33">SUM(C41:C46)</f>
        <v>1003</v>
      </c>
      <c r="D47" s="33">
        <f t="shared" si="33"/>
        <v>1126</v>
      </c>
      <c r="E47" s="32">
        <f t="shared" si="33"/>
        <v>1137</v>
      </c>
      <c r="F47" s="33">
        <f t="shared" si="33"/>
        <v>1015</v>
      </c>
      <c r="G47" s="32">
        <f t="shared" si="33"/>
        <v>1322</v>
      </c>
      <c r="H47" s="33">
        <f t="shared" si="33"/>
        <v>1380</v>
      </c>
      <c r="I47" s="32">
        <f t="shared" si="33"/>
        <v>1125</v>
      </c>
      <c r="J47" s="33">
        <f t="shared" si="33"/>
        <v>1326</v>
      </c>
      <c r="R47" s="32">
        <f>SUM(R41:R46)</f>
        <v>1005</v>
      </c>
      <c r="S47" s="32">
        <f>SUM(S41:S46)</f>
        <v>1126</v>
      </c>
      <c r="T47" s="32">
        <f>SUM(T41:T46)</f>
        <v>1015</v>
      </c>
      <c r="U47" s="32">
        <f>SUM(U41:U46)</f>
        <v>1380</v>
      </c>
      <c r="V47" s="32">
        <f>SUM(V41:V46)</f>
        <v>1326</v>
      </c>
    </row>
    <row r="48" spans="2:22" s="2" customFormat="1" x14ac:dyDescent="0.2">
      <c r="B48" s="2" t="s">
        <v>81</v>
      </c>
      <c r="C48" s="36">
        <v>768</v>
      </c>
      <c r="D48" s="37">
        <v>643</v>
      </c>
      <c r="E48" s="36">
        <v>1001</v>
      </c>
      <c r="F48" s="37">
        <f>T48</f>
        <v>970</v>
      </c>
      <c r="G48" s="36">
        <v>742</v>
      </c>
      <c r="H48" s="37">
        <v>749</v>
      </c>
      <c r="I48" s="36">
        <v>1123</v>
      </c>
      <c r="J48" s="30">
        <f t="shared" ref="J48:J54" si="34">V48</f>
        <v>1044</v>
      </c>
      <c r="L48" s="30"/>
      <c r="M48" s="1"/>
      <c r="N48" s="1"/>
      <c r="O48" s="1"/>
      <c r="P48" s="1"/>
      <c r="Q48" s="1"/>
      <c r="R48" s="36">
        <v>913</v>
      </c>
      <c r="S48" s="36">
        <v>643</v>
      </c>
      <c r="T48" s="36">
        <v>970</v>
      </c>
      <c r="U48" s="36">
        <v>749</v>
      </c>
      <c r="V48" s="2">
        <v>1044</v>
      </c>
    </row>
    <row r="49" spans="2:22" x14ac:dyDescent="0.2">
      <c r="B49" s="1" t="s">
        <v>85</v>
      </c>
      <c r="C49" s="32">
        <v>22</v>
      </c>
      <c r="D49" s="33">
        <v>25</v>
      </c>
      <c r="E49" s="32">
        <v>26</v>
      </c>
      <c r="F49" s="33">
        <f t="shared" ref="F49:F53" si="35">T49</f>
        <v>23</v>
      </c>
      <c r="G49" s="32">
        <v>23</v>
      </c>
      <c r="H49" s="33">
        <v>22</v>
      </c>
      <c r="I49" s="32">
        <v>23</v>
      </c>
      <c r="J49" s="23">
        <f t="shared" si="34"/>
        <v>19</v>
      </c>
      <c r="R49" s="32">
        <v>22</v>
      </c>
      <c r="S49" s="32">
        <v>25</v>
      </c>
      <c r="T49" s="32">
        <v>23</v>
      </c>
      <c r="U49" s="32">
        <v>22</v>
      </c>
      <c r="V49" s="1">
        <v>19</v>
      </c>
    </row>
    <row r="50" spans="2:22" x14ac:dyDescent="0.2">
      <c r="B50" s="1" t="s">
        <v>75</v>
      </c>
      <c r="C50" s="32">
        <v>26</v>
      </c>
      <c r="D50" s="33">
        <v>24</v>
      </c>
      <c r="E50" s="32">
        <v>27</v>
      </c>
      <c r="F50" s="33">
        <f t="shared" si="35"/>
        <v>14</v>
      </c>
      <c r="G50" s="32">
        <v>10</v>
      </c>
      <c r="H50" s="33">
        <v>5</v>
      </c>
      <c r="I50" s="32">
        <v>24</v>
      </c>
      <c r="J50" s="23">
        <f t="shared" si="34"/>
        <v>16</v>
      </c>
      <c r="R50" s="32">
        <v>25</v>
      </c>
      <c r="S50" s="32">
        <v>24</v>
      </c>
      <c r="T50" s="32">
        <v>14</v>
      </c>
      <c r="U50" s="32">
        <v>5</v>
      </c>
      <c r="V50" s="1">
        <v>16</v>
      </c>
    </row>
    <row r="51" spans="2:22" x14ac:dyDescent="0.2">
      <c r="B51" s="1" t="s">
        <v>82</v>
      </c>
      <c r="C51" s="32">
        <v>12</v>
      </c>
      <c r="D51" s="33">
        <v>15</v>
      </c>
      <c r="E51" s="32">
        <v>13</v>
      </c>
      <c r="F51" s="33">
        <f t="shared" si="35"/>
        <v>31</v>
      </c>
      <c r="G51" s="32">
        <v>29</v>
      </c>
      <c r="H51" s="33">
        <v>49</v>
      </c>
      <c r="I51" s="32">
        <v>36</v>
      </c>
      <c r="J51" s="23">
        <f t="shared" si="34"/>
        <v>20</v>
      </c>
      <c r="R51" s="32">
        <v>11</v>
      </c>
      <c r="S51" s="32">
        <v>15</v>
      </c>
      <c r="T51" s="32">
        <v>31</v>
      </c>
      <c r="U51" s="32">
        <v>49</v>
      </c>
      <c r="V51" s="1">
        <v>20</v>
      </c>
    </row>
    <row r="52" spans="2:22" x14ac:dyDescent="0.2">
      <c r="B52" s="1" t="s">
        <v>80</v>
      </c>
      <c r="C52" s="32">
        <v>7</v>
      </c>
      <c r="D52" s="33">
        <v>7</v>
      </c>
      <c r="E52" s="32">
        <v>6</v>
      </c>
      <c r="F52" s="33">
        <f t="shared" si="35"/>
        <v>3</v>
      </c>
      <c r="G52" s="32">
        <v>3</v>
      </c>
      <c r="H52" s="33">
        <v>3</v>
      </c>
      <c r="I52" s="32">
        <v>2</v>
      </c>
      <c r="J52" s="23">
        <f t="shared" si="34"/>
        <v>6</v>
      </c>
      <c r="R52" s="32">
        <v>8</v>
      </c>
      <c r="S52" s="32">
        <v>7</v>
      </c>
      <c r="T52" s="32">
        <v>3</v>
      </c>
      <c r="U52" s="32">
        <v>3</v>
      </c>
      <c r="V52" s="1">
        <v>6</v>
      </c>
    </row>
    <row r="53" spans="2:22" x14ac:dyDescent="0.2">
      <c r="B53" s="1" t="s">
        <v>83</v>
      </c>
      <c r="C53" s="32">
        <v>7</v>
      </c>
      <c r="D53" s="33">
        <v>8</v>
      </c>
      <c r="E53" s="32">
        <v>7</v>
      </c>
      <c r="F53" s="33">
        <f t="shared" si="35"/>
        <v>7</v>
      </c>
      <c r="G53" s="32">
        <v>11</v>
      </c>
      <c r="H53" s="33">
        <v>10</v>
      </c>
      <c r="I53" s="32">
        <v>9</v>
      </c>
      <c r="J53" s="23">
        <f t="shared" si="34"/>
        <v>8</v>
      </c>
      <c r="R53" s="32">
        <v>6</v>
      </c>
      <c r="S53" s="32">
        <v>8</v>
      </c>
      <c r="T53" s="32">
        <v>7</v>
      </c>
      <c r="U53" s="32">
        <v>10</v>
      </c>
      <c r="V53" s="1">
        <v>8</v>
      </c>
    </row>
    <row r="54" spans="2:22" x14ac:dyDescent="0.2">
      <c r="B54" s="1" t="s">
        <v>101</v>
      </c>
      <c r="C54" s="32">
        <v>0</v>
      </c>
      <c r="D54" s="33">
        <v>0</v>
      </c>
      <c r="E54" s="32">
        <v>0</v>
      </c>
      <c r="F54" s="33">
        <v>0</v>
      </c>
      <c r="G54" s="32">
        <v>0</v>
      </c>
      <c r="H54" s="33">
        <v>0</v>
      </c>
      <c r="I54" s="32">
        <v>0</v>
      </c>
      <c r="J54" s="23">
        <f t="shared" si="34"/>
        <v>60</v>
      </c>
      <c r="R54" s="32">
        <v>0</v>
      </c>
      <c r="S54" s="32">
        <v>0</v>
      </c>
      <c r="T54" s="32">
        <v>0</v>
      </c>
      <c r="U54" s="32">
        <v>0</v>
      </c>
      <c r="V54" s="1">
        <v>60</v>
      </c>
    </row>
    <row r="55" spans="2:22" x14ac:dyDescent="0.2">
      <c r="B55" s="1" t="s">
        <v>84</v>
      </c>
      <c r="C55" s="32">
        <f t="shared" ref="C55:J55" si="36">C47+SUM(C48:C54)</f>
        <v>1845</v>
      </c>
      <c r="D55" s="33">
        <f t="shared" si="36"/>
        <v>1848</v>
      </c>
      <c r="E55" s="32">
        <f t="shared" si="36"/>
        <v>2217</v>
      </c>
      <c r="F55" s="33">
        <f t="shared" si="36"/>
        <v>2063</v>
      </c>
      <c r="G55" s="32">
        <f t="shared" si="36"/>
        <v>2140</v>
      </c>
      <c r="H55" s="33">
        <f t="shared" si="36"/>
        <v>2218</v>
      </c>
      <c r="I55" s="32">
        <f t="shared" si="36"/>
        <v>2342</v>
      </c>
      <c r="J55" s="33">
        <f t="shared" si="36"/>
        <v>2499</v>
      </c>
      <c r="R55" s="32">
        <f>R47+SUM(R48:R54)</f>
        <v>1990</v>
      </c>
      <c r="S55" s="32">
        <f>S47+SUM(S48:S54)</f>
        <v>1848</v>
      </c>
      <c r="T55" s="32">
        <f>T47+SUM(T48:T54)</f>
        <v>2063</v>
      </c>
      <c r="U55" s="32">
        <f>U47+SUM(U48:U54)</f>
        <v>2218</v>
      </c>
      <c r="V55" s="32">
        <f>V47+SUM(V48:V54)</f>
        <v>2499</v>
      </c>
    </row>
    <row r="56" spans="2:22" x14ac:dyDescent="0.2">
      <c r="G56" s="32"/>
      <c r="H56" s="33"/>
      <c r="R56" s="32"/>
      <c r="S56" s="32"/>
      <c r="T56" s="32"/>
      <c r="U56" s="32"/>
    </row>
    <row r="57" spans="2:22" s="32" customFormat="1" x14ac:dyDescent="0.2">
      <c r="B57" s="32" t="s">
        <v>88</v>
      </c>
      <c r="C57" s="32">
        <v>1383</v>
      </c>
      <c r="D57" s="33">
        <v>1504</v>
      </c>
      <c r="E57" s="32">
        <v>1624</v>
      </c>
      <c r="F57" s="33">
        <f>T57</f>
        <v>1652</v>
      </c>
      <c r="G57" s="32">
        <v>1304</v>
      </c>
      <c r="H57" s="33">
        <v>1111</v>
      </c>
      <c r="I57" s="32">
        <v>1204</v>
      </c>
      <c r="J57" s="33">
        <f>V57</f>
        <v>1397</v>
      </c>
      <c r="L57" s="33"/>
      <c r="R57" s="32">
        <v>1327</v>
      </c>
      <c r="S57" s="32">
        <v>1504</v>
      </c>
      <c r="T57" s="32">
        <v>1652</v>
      </c>
      <c r="U57" s="32">
        <v>1111</v>
      </c>
      <c r="V57" s="32">
        <v>1397</v>
      </c>
    </row>
    <row r="58" spans="2:22" x14ac:dyDescent="0.2">
      <c r="B58" s="1" t="s">
        <v>89</v>
      </c>
      <c r="C58" s="32">
        <f t="shared" ref="C58:J58" si="37">C57+C55</f>
        <v>3228</v>
      </c>
      <c r="D58" s="33">
        <f t="shared" si="37"/>
        <v>3352</v>
      </c>
      <c r="E58" s="32">
        <f t="shared" si="37"/>
        <v>3841</v>
      </c>
      <c r="F58" s="33">
        <f t="shared" si="37"/>
        <v>3715</v>
      </c>
      <c r="G58" s="32">
        <f t="shared" si="37"/>
        <v>3444</v>
      </c>
      <c r="H58" s="33">
        <f t="shared" si="37"/>
        <v>3329</v>
      </c>
      <c r="I58" s="32">
        <f t="shared" si="37"/>
        <v>3546</v>
      </c>
      <c r="J58" s="33">
        <f t="shared" si="37"/>
        <v>3896</v>
      </c>
      <c r="R58" s="32">
        <f>R57+R55</f>
        <v>3317</v>
      </c>
      <c r="S58" s="32">
        <f>S57+S55</f>
        <v>3352</v>
      </c>
      <c r="T58" s="32">
        <f>T57+T55</f>
        <v>3715</v>
      </c>
      <c r="U58" s="32">
        <f>U57+U55</f>
        <v>3329</v>
      </c>
      <c r="V58" s="32">
        <f>V57+V55</f>
        <v>3896</v>
      </c>
    </row>
    <row r="59" spans="2:22" x14ac:dyDescent="0.2">
      <c r="G59" s="32"/>
      <c r="H59" s="33"/>
    </row>
    <row r="60" spans="2:22" x14ac:dyDescent="0.2">
      <c r="B60" s="1" t="s">
        <v>90</v>
      </c>
      <c r="C60" s="32">
        <f t="shared" ref="C60:I60" si="38">C39-C55</f>
        <v>1383</v>
      </c>
      <c r="D60" s="33">
        <f t="shared" si="38"/>
        <v>1504</v>
      </c>
      <c r="E60" s="32">
        <f t="shared" si="38"/>
        <v>1624</v>
      </c>
      <c r="F60" s="33">
        <f t="shared" si="38"/>
        <v>1652</v>
      </c>
      <c r="G60" s="32">
        <f t="shared" si="38"/>
        <v>1304</v>
      </c>
      <c r="H60" s="33">
        <f t="shared" si="38"/>
        <v>1111</v>
      </c>
      <c r="I60" s="32">
        <f t="shared" si="38"/>
        <v>1204</v>
      </c>
      <c r="J60" s="33">
        <f t="shared" ref="J60" si="39">J39-J55</f>
        <v>31</v>
      </c>
      <c r="R60" s="32">
        <f>R39-R55</f>
        <v>1310</v>
      </c>
      <c r="S60" s="32">
        <f>S39-S55</f>
        <v>1504</v>
      </c>
      <c r="T60" s="32">
        <f>T39-T55</f>
        <v>1652</v>
      </c>
      <c r="U60" s="32">
        <f>U39-U55</f>
        <v>1111</v>
      </c>
      <c r="V60" s="32">
        <f t="shared" ref="V60" si="40">V39-V55</f>
        <v>1377</v>
      </c>
    </row>
    <row r="61" spans="2:22" x14ac:dyDescent="0.2">
      <c r="B61" s="1" t="s">
        <v>91</v>
      </c>
      <c r="C61" s="1">
        <f t="shared" ref="C61:I61" si="41">C60/C15</f>
        <v>1.2734806629834254</v>
      </c>
      <c r="D61" s="23">
        <f t="shared" si="41"/>
        <v>1.3848987108655617</v>
      </c>
      <c r="E61" s="1">
        <f t="shared" si="41"/>
        <v>1.489908256880734</v>
      </c>
      <c r="F61" s="23">
        <f t="shared" si="41"/>
        <v>1.5142071494042164</v>
      </c>
      <c r="G61" s="1">
        <f t="shared" si="41"/>
        <v>1.1919561243144423</v>
      </c>
      <c r="H61" s="23">
        <f t="shared" si="41"/>
        <v>1.0287037037037037</v>
      </c>
      <c r="I61" s="1">
        <f t="shared" si="41"/>
        <v>1.1769305962854351</v>
      </c>
      <c r="J61" s="23">
        <f t="shared" ref="J61" si="42">J60/J15</f>
        <v>3.0392156862745098E-2</v>
      </c>
      <c r="R61" s="1">
        <f>R60/R15</f>
        <v>1.2096029547553093</v>
      </c>
      <c r="S61" s="1">
        <f>S60/S15</f>
        <v>1.3848987108655617</v>
      </c>
      <c r="T61" s="1">
        <f>T60/T15</f>
        <v>1.5142071494042164</v>
      </c>
      <c r="U61" s="1">
        <f>U60/U15</f>
        <v>1.0287037037037037</v>
      </c>
      <c r="V61" s="1">
        <f t="shared" ref="V61" si="43">V60/V15</f>
        <v>1.35</v>
      </c>
    </row>
    <row r="62" spans="2:22" x14ac:dyDescent="0.2">
      <c r="G62" s="32"/>
    </row>
    <row r="63" spans="2:22" s="39" customFormat="1" x14ac:dyDescent="0.2">
      <c r="B63" s="39" t="s">
        <v>6</v>
      </c>
      <c r="C63" s="40">
        <f t="shared" ref="C63:I63" si="44">C37+C30+C31</f>
        <v>354</v>
      </c>
      <c r="D63" s="41">
        <f t="shared" si="44"/>
        <v>375</v>
      </c>
      <c r="E63" s="40">
        <f t="shared" si="44"/>
        <v>915</v>
      </c>
      <c r="F63" s="41">
        <f t="shared" si="44"/>
        <v>832</v>
      </c>
      <c r="G63" s="40">
        <f t="shared" si="44"/>
        <v>713</v>
      </c>
      <c r="H63" s="41">
        <f t="shared" si="44"/>
        <v>574</v>
      </c>
      <c r="I63" s="40">
        <f t="shared" si="44"/>
        <v>519</v>
      </c>
      <c r="J63" s="41">
        <f t="shared" ref="J63" si="45">J37+J30+J31</f>
        <v>493</v>
      </c>
      <c r="L63" s="54"/>
      <c r="R63" s="40">
        <f>R37+R30+R31</f>
        <v>273</v>
      </c>
      <c r="S63" s="40">
        <f>S37+S30+S31</f>
        <v>375</v>
      </c>
      <c r="T63" s="40">
        <f>T37+T30+T31</f>
        <v>832</v>
      </c>
      <c r="U63" s="40">
        <f>U37+U30+U31</f>
        <v>574</v>
      </c>
      <c r="V63" s="40">
        <f t="shared" ref="V63" si="46">V37+V30+V31</f>
        <v>493</v>
      </c>
    </row>
    <row r="64" spans="2:22" s="39" customFormat="1" x14ac:dyDescent="0.2">
      <c r="B64" s="39" t="s">
        <v>7</v>
      </c>
      <c r="C64" s="40">
        <f t="shared" ref="C64:I64" si="47">C43+C48</f>
        <v>773</v>
      </c>
      <c r="D64" s="41">
        <f t="shared" si="47"/>
        <v>765</v>
      </c>
      <c r="E64" s="40">
        <f t="shared" si="47"/>
        <v>1150</v>
      </c>
      <c r="F64" s="41">
        <f t="shared" si="47"/>
        <v>990</v>
      </c>
      <c r="G64" s="40">
        <f t="shared" si="47"/>
        <v>807</v>
      </c>
      <c r="H64" s="41">
        <f t="shared" si="47"/>
        <v>814</v>
      </c>
      <c r="I64" s="40">
        <f t="shared" si="47"/>
        <v>1165</v>
      </c>
      <c r="J64" s="41">
        <f t="shared" ref="J64" si="48">J43+J48</f>
        <v>1222</v>
      </c>
      <c r="L64" s="54"/>
      <c r="R64" s="40">
        <f>R43+R48</f>
        <v>921</v>
      </c>
      <c r="S64" s="40">
        <f>S43+S48</f>
        <v>765</v>
      </c>
      <c r="T64" s="40">
        <f>T43+T48</f>
        <v>990</v>
      </c>
      <c r="U64" s="40">
        <f>U43+U48</f>
        <v>814</v>
      </c>
      <c r="V64" s="40">
        <f t="shared" ref="V64" si="49">V43+V48</f>
        <v>1222</v>
      </c>
    </row>
    <row r="65" spans="2:22" x14ac:dyDescent="0.2">
      <c r="B65" s="1" t="s">
        <v>8</v>
      </c>
      <c r="C65" s="32">
        <f t="shared" ref="C65:I65" si="50">C63-C64</f>
        <v>-419</v>
      </c>
      <c r="D65" s="33">
        <f t="shared" si="50"/>
        <v>-390</v>
      </c>
      <c r="E65" s="32">
        <f t="shared" si="50"/>
        <v>-235</v>
      </c>
      <c r="F65" s="33">
        <f t="shared" si="50"/>
        <v>-158</v>
      </c>
      <c r="G65" s="32">
        <f t="shared" si="50"/>
        <v>-94</v>
      </c>
      <c r="H65" s="33">
        <f t="shared" si="50"/>
        <v>-240</v>
      </c>
      <c r="I65" s="32">
        <f t="shared" si="50"/>
        <v>-646</v>
      </c>
      <c r="J65" s="33">
        <f t="shared" ref="J65" si="51">J63-J64</f>
        <v>-729</v>
      </c>
      <c r="R65" s="32">
        <f>R63-R64</f>
        <v>-648</v>
      </c>
      <c r="S65" s="32">
        <f>S63-S64</f>
        <v>-390</v>
      </c>
      <c r="T65" s="32">
        <f>T63-T64</f>
        <v>-158</v>
      </c>
      <c r="U65" s="32">
        <f>U63-U64</f>
        <v>-240</v>
      </c>
      <c r="V65" s="32">
        <f t="shared" ref="V65" si="52">V63-V64</f>
        <v>-729</v>
      </c>
    </row>
    <row r="66" spans="2:22" x14ac:dyDescent="0.2">
      <c r="G66" s="32"/>
    </row>
    <row r="67" spans="2:22" x14ac:dyDescent="0.2">
      <c r="B67" s="1" t="s">
        <v>98</v>
      </c>
      <c r="R67" s="1">
        <v>5.3022</v>
      </c>
      <c r="S67" s="1">
        <v>6.9139999999999997</v>
      </c>
      <c r="T67" s="1">
        <v>7.2080000000000002</v>
      </c>
      <c r="U67" s="1">
        <v>7.0960000000000001</v>
      </c>
      <c r="V67" s="1">
        <v>6.9720000000000004</v>
      </c>
    </row>
    <row r="68" spans="2:22" x14ac:dyDescent="0.2">
      <c r="B68" s="1" t="s">
        <v>99</v>
      </c>
      <c r="R68" s="49">
        <f t="shared" ref="R68:U68" si="53">R67*R15</f>
        <v>5742.2826000000005</v>
      </c>
      <c r="S68" s="49">
        <f t="shared" si="53"/>
        <v>7508.6039999999994</v>
      </c>
      <c r="T68" s="49">
        <f t="shared" si="53"/>
        <v>7863.9279999999999</v>
      </c>
      <c r="U68" s="49">
        <f t="shared" si="53"/>
        <v>7663.68</v>
      </c>
      <c r="V68" s="49">
        <f>V67*V15</f>
        <v>7111.4400000000005</v>
      </c>
    </row>
    <row r="69" spans="2:22" x14ac:dyDescent="0.2">
      <c r="B69" s="1" t="s">
        <v>9</v>
      </c>
      <c r="R69" s="32">
        <f t="shared" ref="R69:U69" si="54">R68-R65</f>
        <v>6390.2826000000005</v>
      </c>
      <c r="S69" s="32">
        <f t="shared" si="54"/>
        <v>7898.6039999999994</v>
      </c>
      <c r="T69" s="32">
        <f t="shared" si="54"/>
        <v>8021.9279999999999</v>
      </c>
      <c r="U69" s="32">
        <f t="shared" si="54"/>
        <v>7903.68</v>
      </c>
      <c r="V69" s="32">
        <f>V68-V65</f>
        <v>7840.4400000000005</v>
      </c>
    </row>
    <row r="71" spans="2:22" x14ac:dyDescent="0.2">
      <c r="B71" s="1" t="s">
        <v>23</v>
      </c>
      <c r="R71" s="50">
        <f t="shared" ref="R71:U71" si="55">R67/R61</f>
        <v>4.3834218320610692</v>
      </c>
      <c r="S71" s="50">
        <f t="shared" si="55"/>
        <v>4.9924228723404251</v>
      </c>
      <c r="T71" s="50">
        <f t="shared" si="55"/>
        <v>4.760246973365617</v>
      </c>
      <c r="U71" s="50">
        <f t="shared" si="55"/>
        <v>6.8980018001800181</v>
      </c>
      <c r="V71" s="50">
        <f>V67/V61</f>
        <v>5.1644444444444444</v>
      </c>
    </row>
    <row r="72" spans="2:22" x14ac:dyDescent="0.2">
      <c r="B72" s="1" t="s">
        <v>22</v>
      </c>
      <c r="R72" s="50">
        <f t="shared" ref="R72:U72" si="56">R68/R4</f>
        <v>3.1106622968580719</v>
      </c>
      <c r="S72" s="50">
        <f t="shared" si="56"/>
        <v>3.878411157024793</v>
      </c>
      <c r="T72" s="50">
        <f t="shared" si="56"/>
        <v>4.1323846558066206</v>
      </c>
      <c r="U72" s="50">
        <f t="shared" si="56"/>
        <v>4.1515059588299028</v>
      </c>
      <c r="V72" s="50">
        <f>V68/V4</f>
        <v>3.6525115562403703</v>
      </c>
    </row>
    <row r="73" spans="2:22" x14ac:dyDescent="0.2">
      <c r="B73" s="1" t="s">
        <v>103</v>
      </c>
      <c r="R73" s="50">
        <f t="shared" ref="R73:U73" si="57">R69/R4</f>
        <v>3.4616915492957747</v>
      </c>
      <c r="S73" s="50">
        <f t="shared" si="57"/>
        <v>4.0798574380165284</v>
      </c>
      <c r="T73" s="50">
        <f t="shared" si="57"/>
        <v>4.2154114555964268</v>
      </c>
      <c r="U73" s="50">
        <f t="shared" si="57"/>
        <v>4.2815167930660891</v>
      </c>
      <c r="V73" s="50">
        <f>V69/V4</f>
        <v>4.0269337442218802</v>
      </c>
    </row>
    <row r="74" spans="2:22" x14ac:dyDescent="0.2">
      <c r="B74" s="1" t="s">
        <v>21</v>
      </c>
      <c r="R74" s="50">
        <f t="shared" ref="R74:U74" si="58">R67/R14</f>
        <v>19.465364745762713</v>
      </c>
      <c r="S74" s="50">
        <f t="shared" si="58"/>
        <v>28.227834586466162</v>
      </c>
      <c r="T74" s="50">
        <f t="shared" si="58"/>
        <v>25.367509677419356</v>
      </c>
      <c r="U74" s="50">
        <f t="shared" si="58"/>
        <v>26.890105263157896</v>
      </c>
      <c r="V74" s="50">
        <f>V67/V14</f>
        <v>27.997795275590551</v>
      </c>
    </row>
  </sheetData>
  <hyperlinks>
    <hyperlink ref="I1" r:id="rId1" xr:uid="{ABB9BCB2-B255-4966-A56C-8C06AE53AAB4}"/>
    <hyperlink ref="E1" r:id="rId2" xr:uid="{8788A2F1-131A-4DB6-BFAD-60E157C05804}"/>
    <hyperlink ref="U1" r:id="rId3" xr:uid="{1BA11437-DB7B-46AF-B538-540ADD6514E3}"/>
    <hyperlink ref="S1" r:id="rId4" xr:uid="{621E12A8-EF21-434E-ABD4-566CA080C868}"/>
    <hyperlink ref="V1" r:id="rId5" xr:uid="{868025EF-C9E4-3A47-BE7A-AE4B223C1AF9}"/>
  </hyperlinks>
  <pageMargins left="0.7" right="0.7" top="0.75" bottom="0.75" header="0.3" footer="0.3"/>
  <pageSetup paperSize="256" orientation="portrait" horizontalDpi="203" verticalDpi="203" r:id="rId6"/>
  <ignoredErrors>
    <ignoredError sqref="H6:H8 H11 F6:F8 F11 F13 D6:D8 D11 J6:J11 F34:F53 J29:J39 J47" formula="1"/>
  </ignoredErrors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2022-10-03T09:15:04Z</dcterms:created>
  <dcterms:modified xsi:type="dcterms:W3CDTF">2022-12-29T16:50:35Z</dcterms:modified>
</cp:coreProperties>
</file>