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EF2CCA4-42EC-4367-9242-516B2AFF9874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3" i="1"/>
  <c r="C29" i="1"/>
  <c r="C26" i="1"/>
  <c r="C10" i="1"/>
  <c r="C9" i="1"/>
  <c r="C7" i="1"/>
  <c r="U144" i="2"/>
  <c r="U143" i="2"/>
  <c r="U147" i="2" s="1"/>
  <c r="U141" i="2"/>
  <c r="U139" i="2"/>
  <c r="U138" i="2"/>
  <c r="U137" i="2"/>
  <c r="U134" i="2"/>
  <c r="U135" i="2" s="1"/>
  <c r="U131" i="2"/>
  <c r="U129" i="2"/>
  <c r="U128" i="2"/>
  <c r="U125" i="2"/>
  <c r="U124" i="2"/>
  <c r="U126" i="2" s="1"/>
  <c r="U121" i="2"/>
  <c r="U122" i="2" s="1"/>
  <c r="U119" i="2"/>
  <c r="U116" i="2"/>
  <c r="U104" i="2"/>
  <c r="U87" i="2"/>
  <c r="U73" i="2"/>
  <c r="U58" i="2"/>
  <c r="U57" i="2"/>
  <c r="U52" i="2"/>
  <c r="U44" i="2"/>
  <c r="U39" i="2"/>
  <c r="U38" i="2"/>
  <c r="U37" i="2"/>
  <c r="U36" i="2"/>
  <c r="U26" i="2"/>
  <c r="U23" i="2"/>
  <c r="U21" i="2"/>
  <c r="U19" i="2"/>
  <c r="U18" i="2"/>
  <c r="U11" i="2"/>
  <c r="U32" i="2"/>
  <c r="U31" i="2"/>
  <c r="U30" i="2"/>
  <c r="U145" i="2" l="1"/>
  <c r="U146" i="2"/>
  <c r="U43" i="2"/>
  <c r="T31" i="3"/>
  <c r="T32" i="3"/>
  <c r="T33" i="3"/>
  <c r="T34" i="3"/>
  <c r="T36" i="3"/>
  <c r="T37" i="3"/>
  <c r="T38" i="3"/>
  <c r="T39" i="3"/>
  <c r="T41" i="3"/>
  <c r="T42" i="3"/>
  <c r="T43" i="3"/>
  <c r="T44" i="3"/>
  <c r="T21" i="3"/>
  <c r="X21" i="3"/>
  <c r="T12" i="3"/>
  <c r="T3" i="3"/>
  <c r="Y41" i="3" l="1"/>
  <c r="Y37" i="3"/>
  <c r="Y36" i="3"/>
  <c r="Y32" i="3"/>
  <c r="Y31" i="3"/>
  <c r="Y21" i="3"/>
  <c r="Y42" i="3" s="1"/>
  <c r="Y12" i="3"/>
  <c r="X12" i="3"/>
  <c r="Y3" i="3"/>
  <c r="X3" i="3"/>
  <c r="Y141" i="2"/>
  <c r="X141" i="2"/>
  <c r="Y139" i="2"/>
  <c r="X138" i="2"/>
  <c r="Y134" i="2"/>
  <c r="Y135" i="2" s="1"/>
  <c r="X134" i="2"/>
  <c r="Y131" i="2"/>
  <c r="X131" i="2"/>
  <c r="Z128" i="2"/>
  <c r="Y128" i="2"/>
  <c r="Y125" i="2"/>
  <c r="Y126" i="2" s="1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Y121" i="2" s="1"/>
  <c r="Y122" i="2" s="1"/>
  <c r="Y137" i="2" s="1"/>
  <c r="Z32" i="2"/>
  <c r="Y32" i="2"/>
  <c r="Z30" i="2"/>
  <c r="Y30" i="2"/>
  <c r="X36" i="2"/>
  <c r="X26" i="2"/>
  <c r="X139" i="2" s="1"/>
  <c r="Y26" i="2"/>
  <c r="Y11" i="2"/>
  <c r="Y18" i="2" s="1"/>
  <c r="X11" i="2"/>
  <c r="X18" i="2" s="1"/>
  <c r="Y52" i="2"/>
  <c r="X52" i="2"/>
  <c r="Y44" i="2"/>
  <c r="X44" i="2"/>
  <c r="X21" i="2" l="1"/>
  <c r="X37" i="2"/>
  <c r="Y21" i="2"/>
  <c r="Y37" i="2"/>
  <c r="Y36" i="2"/>
  <c r="Y138" i="2"/>
  <c r="X135" i="2"/>
  <c r="X43" i="2"/>
  <c r="Y43" i="2"/>
  <c r="Y39" i="2" l="1"/>
  <c r="Y23" i="2"/>
  <c r="X23" i="2"/>
  <c r="X39" i="2"/>
  <c r="Y57" i="2"/>
  <c r="X143" i="2" l="1"/>
  <c r="X144" i="2"/>
  <c r="X38" i="2"/>
  <c r="Y143" i="2"/>
  <c r="Y144" i="2"/>
  <c r="Y38" i="2"/>
  <c r="AA141" i="2"/>
  <c r="Z141" i="2"/>
  <c r="AA138" i="2"/>
  <c r="AA134" i="2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24" i="2" s="1"/>
  <c r="AB126" i="2" s="1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104" i="2"/>
  <c r="AA116" i="2" s="1"/>
  <c r="Z104" i="2"/>
  <c r="Z116" i="2" s="1"/>
  <c r="AA73" i="2"/>
  <c r="AA87" i="2" s="1"/>
  <c r="Z73" i="2"/>
  <c r="AB30" i="2"/>
  <c r="AA30" i="2"/>
  <c r="AB32" i="2"/>
  <c r="AA32" i="2"/>
  <c r="AA36" i="2"/>
  <c r="Z36" i="2"/>
  <c r="Z26" i="2"/>
  <c r="Z139" i="2" s="1"/>
  <c r="Z18" i="2"/>
  <c r="Z21" i="2" s="1"/>
  <c r="Z23" i="2" s="1"/>
  <c r="Z11" i="2"/>
  <c r="AA26" i="2"/>
  <c r="AA139" i="2" s="1"/>
  <c r="AA18" i="2"/>
  <c r="AA21" i="2" s="1"/>
  <c r="AA11" i="2"/>
  <c r="AA52" i="2"/>
  <c r="Z52" i="2"/>
  <c r="AA44" i="2"/>
  <c r="AA43" i="2" s="1"/>
  <c r="Z44" i="2"/>
  <c r="AA21" i="3"/>
  <c r="Z21" i="3"/>
  <c r="AA12" i="3"/>
  <c r="Z12" i="3"/>
  <c r="AA3" i="3"/>
  <c r="Z3" i="3"/>
  <c r="AB21" i="3"/>
  <c r="AB42" i="3" s="1"/>
  <c r="AB12" i="3"/>
  <c r="AB37" i="3" s="1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S32" i="3" s="1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O32" i="3" l="1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A39" i="2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AA32" i="3"/>
  <c r="AB32" i="3"/>
  <c r="AA36" i="3"/>
  <c r="AB36" i="3"/>
  <c r="R37" i="3"/>
  <c r="P43" i="3"/>
  <c r="AA41" i="3"/>
  <c r="AB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B121" i="2" l="1"/>
  <c r="AB122" i="2" s="1"/>
  <c r="AB137" i="2" s="1"/>
  <c r="F121" i="2"/>
  <c r="F122" i="2" s="1"/>
  <c r="F137" i="2" s="1"/>
  <c r="AB147" i="2"/>
  <c r="AB145" i="2"/>
  <c r="AB146" i="2"/>
  <c r="H126" i="2"/>
  <c r="I126" i="2"/>
  <c r="I135" i="2" s="1"/>
  <c r="E23" i="2"/>
  <c r="E39" i="2"/>
  <c r="I121" i="2"/>
  <c r="I122" i="2" s="1"/>
  <c r="I137" i="2" s="1"/>
  <c r="I18" i="2"/>
  <c r="I21" i="2" s="1"/>
  <c r="I23" i="2" s="1"/>
  <c r="H135" i="2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L143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P104" i="2"/>
  <c r="D7" i="1"/>
  <c r="S43" i="2"/>
  <c r="P43" i="2"/>
  <c r="T43" i="2"/>
  <c r="C30" i="1" s="1"/>
  <c r="Q38" i="2" l="1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O38" i="2" l="1"/>
  <c r="M146" i="2"/>
  <c r="M145" i="2"/>
  <c r="M147" i="2"/>
  <c r="O143" i="2"/>
  <c r="N147" i="2"/>
  <c r="N145" i="2"/>
  <c r="N146" i="2"/>
  <c r="O144" i="2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O145" i="2" l="1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Q147" i="2" l="1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T145" i="2" l="1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<sst xmlns="http://schemas.openxmlformats.org/spreadsheetml/2006/main" count="509" uniqueCount="264">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</sst>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0"/>
    <numFmt numFmtId="166" formatCode="0.0\x"/>
    <numFmt numFmtId="167" formatCode="0.0"/>
    <numFmt numFmtId="168" formatCode="0.0000\x"/>
    <numFmt numFmtId="169" formatCode="mmmm\ yyyy;"/>
  </numFmts>
  <fonts count="2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Model'!$C$15:$U$15</c:f>
              <c:numCache>
                <c:formatCode>#,##0.0</c:formatCode>
                <c:ptCount val="19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Model'!$C$43:$U$43</c:f>
              <c:numCache>
                <c:formatCode>General</c:formatCode>
                <c:ptCount val="19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Model'!$C$44:$U$44</c:f>
              <c:numCache>
                <c:formatCode>General</c:formatCode>
                <c:ptCount val="19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Model'!$C$45:$U$45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Model'!$C$46:$U$46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Model'!$C$47:$U$47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Model'!$C$48:$U$48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Model'!$C$49:$U$49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Model'!$C$50:$U$50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Model'!$C$51:$U$51</c:f>
              <c:numCache>
                <c:formatCode>General</c:formatCode>
                <c:ptCount val="19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Model'!$C$52:$U$52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Model'!$C$53:$U$53</c:f>
              <c:numCache>
                <c:formatCode>General</c:formatCode>
                <c:ptCount val="19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Model'!$C$54:$U$54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Model'!$C$55:$U$55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Model'!$C$9:$U$9</c:f>
              <c:numCache>
                <c:formatCode>#,##0.0</c:formatCode>
                <c:ptCount val="19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Backlog'!$B$3:$T$3</c:f>
              <c:numCache>
                <c:formatCode>#,##0</c:formatCode>
                <c:ptCount val="19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Backlog'!$B$12:$T$12</c:f>
              <c:numCache>
                <c:formatCode>#,##0</c:formatCode>
                <c:ptCount val="19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Backlog'!$B$1:$T$1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'Order &amp; Backlog'!$B$21:$T$21</c:f>
              <c:numCache>
                <c:formatCode>#,##0</c:formatCode>
                <c:ptCount val="19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916025" y="0"/>
          <a:ext cx="0" cy="2447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3175</xdr:rowOff>
    </xdr:from>
    <xdr:to>
      <xdr:col>20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17307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5"/>
  <sheetViews>
    <sheetView tabSelected="1" workbookViewId="0">
      <selection activeCell="C1" sqref="C1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2" t="s">
        <v>2</v>
      </c>
      <c r="C5" s="103"/>
      <c r="D5" s="104"/>
      <c r="G5" s="102" t="s">
        <v>10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4"/>
      <c r="T5" s="102" t="s">
        <v>133</v>
      </c>
      <c r="U5" s="103"/>
      <c r="V5" s="103"/>
      <c r="W5" s="104"/>
      <c r="AA5" s="100" t="s">
        <v>205</v>
      </c>
      <c r="AB5" s="101"/>
    </row>
    <row r="6" spans="1:29">
      <c r="B6" s="4" t="s">
        <v>3</v>
      </c>
      <c r="C6" s="5">
        <v>10.38</v>
      </c>
      <c r="D6" s="18"/>
      <c r="G6" s="9">
        <v>44866</v>
      </c>
      <c r="H6" s="7" t="s">
        <v>263</v>
      </c>
      <c r="I6" s="60"/>
      <c r="J6" s="60"/>
      <c r="K6" s="60"/>
      <c r="L6" s="60"/>
      <c r="M6" s="60"/>
      <c r="N6" s="60"/>
      <c r="O6" s="60"/>
      <c r="P6" s="60"/>
      <c r="Q6" s="60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f>'Financial Model'!U27</f>
        <v>734.6</v>
      </c>
      <c r="D7" s="18" t="str">
        <f>$C$33</f>
        <v>Q322</v>
      </c>
      <c r="G7" s="1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7625.148000000001</v>
      </c>
      <c r="D8" s="18"/>
      <c r="G8" s="9">
        <v>44835</v>
      </c>
      <c r="H8" s="7" t="s">
        <v>254</v>
      </c>
      <c r="I8" s="60"/>
      <c r="J8" s="60"/>
      <c r="K8" s="60"/>
      <c r="L8" s="60"/>
      <c r="M8" s="60"/>
      <c r="N8" s="60"/>
      <c r="O8" s="60"/>
      <c r="P8" s="60"/>
      <c r="Q8" s="60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Model'!U124</f>
        <v>1863.1</v>
      </c>
      <c r="D9" s="18" t="str">
        <f>$C$33</f>
        <v>Q322</v>
      </c>
      <c r="G9" s="10"/>
      <c r="H9" s="60"/>
      <c r="I9" s="60"/>
      <c r="J9" s="60"/>
      <c r="K9" s="60"/>
      <c r="L9" s="60"/>
      <c r="M9" s="60"/>
      <c r="N9" s="60"/>
      <c r="O9" s="60"/>
      <c r="P9" s="60"/>
      <c r="Q9" s="60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Model'!U125</f>
        <v>3236.3</v>
      </c>
      <c r="D10" s="18" t="str">
        <f>$C$33</f>
        <v>Q322</v>
      </c>
      <c r="G10" s="1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-1373.2000000000003</v>
      </c>
      <c r="D11" s="18" t="str">
        <f>$C$33</f>
        <v>Q322</v>
      </c>
      <c r="G11" s="9">
        <v>44835</v>
      </c>
      <c r="H11" s="7" t="s">
        <v>11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8998.3480000000018</v>
      </c>
      <c r="D12" s="19"/>
      <c r="G12" s="10"/>
      <c r="H12" s="8" t="s">
        <v>12</v>
      </c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02" t="s">
        <v>219</v>
      </c>
      <c r="Z12" s="103"/>
      <c r="AA12" s="103"/>
      <c r="AB12" s="103"/>
      <c r="AC12" s="104"/>
    </row>
    <row r="13" spans="1:29">
      <c r="G13" s="10"/>
      <c r="H13" s="8" t="s">
        <v>13</v>
      </c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09" t="s">
        <v>220</v>
      </c>
      <c r="AA13" s="109"/>
      <c r="AB13" s="109" t="s">
        <v>221</v>
      </c>
      <c r="AC13" s="110"/>
    </row>
    <row r="14" spans="1:29">
      <c r="G14" s="10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98" t="s">
        <v>231</v>
      </c>
      <c r="AA14" s="98"/>
      <c r="AB14" s="98" t="s">
        <v>232</v>
      </c>
      <c r="AC14" s="99"/>
    </row>
    <row r="15" spans="1:29">
      <c r="B15" s="102" t="s">
        <v>14</v>
      </c>
      <c r="C15" s="103"/>
      <c r="D15" s="104"/>
      <c r="G15" s="9">
        <v>44835</v>
      </c>
      <c r="H15" s="7" t="s">
        <v>29</v>
      </c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98" t="s">
        <v>227</v>
      </c>
      <c r="AA15" s="98"/>
      <c r="AB15" s="98" t="s">
        <v>233</v>
      </c>
      <c r="AC15" s="99"/>
    </row>
    <row r="16" spans="1:29">
      <c r="A16" s="14" t="s">
        <v>16</v>
      </c>
      <c r="B16" s="16" t="s">
        <v>15</v>
      </c>
      <c r="C16" s="98" t="s">
        <v>18</v>
      </c>
      <c r="D16" s="99"/>
      <c r="G16" s="10"/>
      <c r="H16" s="8" t="s">
        <v>30</v>
      </c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98" t="s">
        <v>228</v>
      </c>
      <c r="AA16" s="98"/>
      <c r="AB16" s="98" t="s">
        <v>234</v>
      </c>
      <c r="AC16" s="99"/>
    </row>
    <row r="17" spans="2:29">
      <c r="B17" s="16" t="s">
        <v>17</v>
      </c>
      <c r="C17" s="98" t="s">
        <v>19</v>
      </c>
      <c r="D17" s="99"/>
      <c r="G17" s="10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/>
      <c r="T17" s="42"/>
      <c r="U17" s="37"/>
      <c r="V17" s="37"/>
      <c r="W17" s="38"/>
      <c r="Y17" s="10" t="s">
        <v>225</v>
      </c>
      <c r="Z17" s="98" t="s">
        <v>229</v>
      </c>
      <c r="AA17" s="98"/>
      <c r="AB17" s="98" t="s">
        <v>235</v>
      </c>
      <c r="AC17" s="99"/>
    </row>
    <row r="18" spans="2:29">
      <c r="B18" s="16"/>
      <c r="C18" s="98"/>
      <c r="D18" s="99"/>
      <c r="G18" s="1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T18" s="46" t="s">
        <v>139</v>
      </c>
      <c r="U18" s="37"/>
      <c r="V18" s="37"/>
      <c r="W18" s="38"/>
      <c r="Y18" s="10" t="s">
        <v>226</v>
      </c>
      <c r="Z18" s="98" t="s">
        <v>230</v>
      </c>
      <c r="AA18" s="98"/>
      <c r="AB18" s="98" t="s">
        <v>236</v>
      </c>
      <c r="AC18" s="99"/>
    </row>
    <row r="19" spans="2:29">
      <c r="B19" s="17"/>
      <c r="C19" s="107"/>
      <c r="D19" s="108"/>
      <c r="G19" s="9">
        <v>44805</v>
      </c>
      <c r="H19" s="7" t="s">
        <v>187</v>
      </c>
      <c r="I19" s="37"/>
      <c r="J19" s="37"/>
      <c r="K19" s="37"/>
      <c r="L19" s="37"/>
      <c r="M19" s="37"/>
      <c r="N19" s="37"/>
      <c r="O19" s="37"/>
      <c r="P19" s="37"/>
      <c r="Q19" s="37"/>
      <c r="R19" s="38"/>
      <c r="T19" s="45" t="s">
        <v>142</v>
      </c>
      <c r="U19" s="37"/>
      <c r="V19" s="37"/>
      <c r="W19" s="38"/>
      <c r="Y19" s="10" t="s">
        <v>237</v>
      </c>
      <c r="Z19" s="98" t="s">
        <v>238</v>
      </c>
      <c r="AA19" s="98"/>
      <c r="AB19" s="98" t="s">
        <v>239</v>
      </c>
      <c r="AC19" s="99"/>
    </row>
    <row r="20" spans="2:29">
      <c r="G20" s="1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T20" s="45" t="s">
        <v>141</v>
      </c>
      <c r="U20" s="37"/>
      <c r="V20" s="37"/>
      <c r="W20" s="38"/>
      <c r="Y20" s="10" t="s">
        <v>243</v>
      </c>
      <c r="Z20" s="98" t="s">
        <v>244</v>
      </c>
      <c r="AA20" s="98"/>
      <c r="AB20" s="98" t="s">
        <v>245</v>
      </c>
      <c r="AC20" s="99"/>
    </row>
    <row r="21" spans="2:29">
      <c r="G21" s="10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02" t="s">
        <v>20</v>
      </c>
      <c r="C22" s="103"/>
      <c r="D22" s="104"/>
      <c r="G22" s="9">
        <v>44805</v>
      </c>
      <c r="H22" s="7" t="s">
        <v>195</v>
      </c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98" t="s">
        <v>132</v>
      </c>
      <c r="D23" s="99"/>
      <c r="G23" s="10"/>
      <c r="H23" s="8" t="s">
        <v>192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T23" s="42"/>
      <c r="U23" s="37"/>
      <c r="V23" s="37"/>
      <c r="W23" s="38"/>
    </row>
    <row r="24" spans="2:29">
      <c r="B24" s="10" t="s">
        <v>22</v>
      </c>
      <c r="C24" s="98">
        <v>1969</v>
      </c>
      <c r="D24" s="99"/>
      <c r="G24" s="10"/>
      <c r="H24" s="8" t="s">
        <v>193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98"/>
      <c r="D25" s="99"/>
      <c r="G25" s="10"/>
      <c r="H25" s="8" t="s">
        <v>191</v>
      </c>
      <c r="I25" s="60"/>
      <c r="J25" s="60"/>
      <c r="K25" s="60"/>
      <c r="L25" s="60"/>
      <c r="M25" s="60"/>
      <c r="N25" s="60"/>
      <c r="O25" s="60"/>
      <c r="P25" s="60"/>
      <c r="Q25" s="60"/>
      <c r="R25" s="51" t="s">
        <v>194</v>
      </c>
      <c r="T25" s="45" t="s">
        <v>144</v>
      </c>
      <c r="U25" s="37"/>
      <c r="V25" s="37"/>
      <c r="W25" s="38"/>
    </row>
    <row r="26" spans="2:29">
      <c r="B26" s="10" t="s">
        <v>171</v>
      </c>
      <c r="C26" s="105">
        <f>'Financial Model'!U68</f>
        <v>2678.6</v>
      </c>
      <c r="D26" s="106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98"/>
      <c r="D27" s="99"/>
      <c r="G27" s="1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38"/>
      <c r="T27" s="45" t="s">
        <v>146</v>
      </c>
      <c r="U27" s="37"/>
      <c r="V27" s="37"/>
      <c r="W27" s="38"/>
    </row>
    <row r="28" spans="2:29">
      <c r="B28" s="10" t="s">
        <v>260</v>
      </c>
      <c r="C28" s="98"/>
      <c r="D28" s="99"/>
      <c r="G28" s="9">
        <v>44743</v>
      </c>
      <c r="H28" s="7" t="s">
        <v>196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0" t="s">
        <v>261</v>
      </c>
      <c r="C29" s="117">
        <f>'Order &amp; Backlog'!T21</f>
        <v>297</v>
      </c>
      <c r="D29" s="99"/>
      <c r="G29" s="10"/>
      <c r="H29" s="8" t="s">
        <v>197</v>
      </c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B30" s="10" t="s">
        <v>212</v>
      </c>
      <c r="C30" s="98">
        <f>'Financial Model'!T43</f>
        <v>32</v>
      </c>
      <c r="D30" s="99"/>
      <c r="G30" s="10"/>
      <c r="H30" s="50" t="s">
        <v>198</v>
      </c>
      <c r="I30" s="60"/>
      <c r="J30" s="60"/>
      <c r="K30" s="60"/>
      <c r="L30" s="60"/>
      <c r="M30" s="60"/>
      <c r="N30" s="60"/>
      <c r="O30" s="60"/>
      <c r="P30" s="60"/>
      <c r="Q30" s="60"/>
      <c r="R30" s="38"/>
      <c r="T30" s="42"/>
      <c r="U30" s="37"/>
      <c r="V30" s="37"/>
      <c r="W30" s="38"/>
    </row>
    <row r="31" spans="2:29">
      <c r="B31" s="10" t="s">
        <v>262</v>
      </c>
      <c r="C31" s="118">
        <v>36708</v>
      </c>
      <c r="D31" s="119"/>
      <c r="G31" s="1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38"/>
      <c r="T31" s="46" t="s">
        <v>149</v>
      </c>
      <c r="U31" s="37"/>
      <c r="V31" s="37"/>
      <c r="W31" s="38"/>
    </row>
    <row r="32" spans="2:29">
      <c r="B32" s="10"/>
      <c r="C32" s="98"/>
      <c r="D32" s="99"/>
      <c r="G32" s="9">
        <v>44743</v>
      </c>
      <c r="H32" s="7" t="s">
        <v>241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T32" s="45" t="s">
        <v>150</v>
      </c>
      <c r="U32" s="37"/>
      <c r="V32" s="37"/>
      <c r="W32" s="38"/>
    </row>
    <row r="33" spans="2:23">
      <c r="B33" s="10" t="s">
        <v>23</v>
      </c>
      <c r="C33" s="31" t="s">
        <v>75</v>
      </c>
      <c r="D33" s="32">
        <f>'Financial Model'!U3</f>
        <v>44879</v>
      </c>
      <c r="G33" s="10"/>
      <c r="H33" s="8" t="s">
        <v>242</v>
      </c>
      <c r="I33" s="60"/>
      <c r="J33" s="60"/>
      <c r="K33" s="60"/>
      <c r="L33" s="60"/>
      <c r="M33" s="60"/>
      <c r="N33" s="60"/>
      <c r="O33" s="60"/>
      <c r="P33" s="60"/>
      <c r="Q33" s="60"/>
      <c r="R33" s="38"/>
      <c r="T33" s="42"/>
      <c r="U33" s="37"/>
      <c r="V33" s="37"/>
      <c r="W33" s="38"/>
    </row>
    <row r="34" spans="2:23">
      <c r="B34" s="11" t="s">
        <v>24</v>
      </c>
      <c r="C34" s="113" t="s">
        <v>31</v>
      </c>
      <c r="D34" s="114"/>
      <c r="G34" s="1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38"/>
      <c r="T34" s="43"/>
      <c r="U34" s="35"/>
      <c r="V34" s="35"/>
      <c r="W34" s="36"/>
    </row>
    <row r="35" spans="2:23">
      <c r="G35" s="9">
        <v>44682</v>
      </c>
      <c r="H35" s="60" t="s">
        <v>250</v>
      </c>
      <c r="I35" s="60"/>
      <c r="J35" s="60"/>
      <c r="K35" s="60"/>
      <c r="L35" s="60"/>
      <c r="M35" s="60"/>
      <c r="N35" s="60"/>
      <c r="O35" s="60"/>
      <c r="P35" s="60"/>
      <c r="Q35" s="60"/>
      <c r="R35" s="38"/>
    </row>
    <row r="36" spans="2:23">
      <c r="G36" s="10"/>
      <c r="H36" s="8" t="s">
        <v>251</v>
      </c>
      <c r="I36" s="60"/>
      <c r="J36" s="60"/>
      <c r="K36" s="60"/>
      <c r="L36" s="60"/>
      <c r="M36" s="60"/>
      <c r="N36" s="60"/>
      <c r="O36" s="60"/>
      <c r="P36" s="60"/>
      <c r="Q36" s="60"/>
      <c r="R36" s="51" t="s">
        <v>31</v>
      </c>
    </row>
    <row r="37" spans="2:23">
      <c r="B37" s="102" t="s">
        <v>25</v>
      </c>
      <c r="C37" s="103"/>
      <c r="D37" s="104"/>
      <c r="G37" s="1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38"/>
      <c r="T37" s="102" t="s">
        <v>158</v>
      </c>
      <c r="U37" s="103"/>
      <c r="V37" s="103"/>
      <c r="W37" s="104"/>
    </row>
    <row r="38" spans="2:23">
      <c r="B38" s="10" t="s">
        <v>26</v>
      </c>
      <c r="C38" s="115">
        <f>C6/'Financial Model'!U122</f>
        <v>2.8125661170742502</v>
      </c>
      <c r="D38" s="116"/>
      <c r="G38" s="9">
        <v>43922</v>
      </c>
      <c r="H38" s="37" t="s">
        <v>164</v>
      </c>
      <c r="I38" s="37"/>
      <c r="J38" s="37"/>
      <c r="K38" s="37"/>
      <c r="L38" s="37"/>
      <c r="M38" s="37"/>
      <c r="N38" s="37"/>
      <c r="O38" s="37"/>
      <c r="P38" s="37"/>
      <c r="Q38" s="37"/>
      <c r="R38" s="38"/>
      <c r="T38" s="42" t="s">
        <v>159</v>
      </c>
      <c r="U38" s="37"/>
      <c r="V38" s="37"/>
      <c r="W38" s="38"/>
    </row>
    <row r="39" spans="2:23">
      <c r="B39" s="10" t="s">
        <v>27</v>
      </c>
      <c r="C39" s="115">
        <f>C6/'Financial Model'!AE9</f>
        <v>2.4730772896216528E-3</v>
      </c>
      <c r="D39" s="116"/>
      <c r="G39" s="10"/>
      <c r="H39" s="8" t="s">
        <v>169</v>
      </c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1" t="s">
        <v>28</v>
      </c>
      <c r="C40" s="111">
        <f>C6/'Financial Model'!AE26</f>
        <v>-170.60818791946309</v>
      </c>
      <c r="D40" s="112"/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51" t="s">
        <v>31</v>
      </c>
      <c r="T40" s="44" t="s">
        <v>161</v>
      </c>
      <c r="U40" s="37"/>
      <c r="V40" s="37"/>
      <c r="W40" s="38"/>
    </row>
    <row r="41" spans="2:23">
      <c r="G41" s="10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G42" s="9">
        <v>43770</v>
      </c>
      <c r="H42" s="37" t="s">
        <v>167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02" t="s">
        <v>247</v>
      </c>
      <c r="C43" s="103"/>
      <c r="D43" s="104"/>
      <c r="G43" s="10"/>
      <c r="H43" s="50" t="s">
        <v>168</v>
      </c>
      <c r="I43" s="37"/>
      <c r="J43" s="37"/>
      <c r="K43" s="37"/>
      <c r="L43" s="37"/>
      <c r="M43" s="37"/>
      <c r="N43" s="37"/>
      <c r="O43" s="37"/>
      <c r="P43" s="37"/>
      <c r="Q43" s="37"/>
      <c r="R43" s="38"/>
      <c r="T43" s="61" t="s">
        <v>200</v>
      </c>
      <c r="U43" s="60"/>
      <c r="V43" s="60"/>
      <c r="W43" s="38"/>
    </row>
    <row r="44" spans="2:23">
      <c r="B44" s="120" t="s">
        <v>248</v>
      </c>
      <c r="C44" s="121"/>
      <c r="D44" s="51" t="s">
        <v>31</v>
      </c>
      <c r="G44" s="10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B45" s="120" t="s">
        <v>249</v>
      </c>
      <c r="C45" s="121"/>
      <c r="D45" s="51" t="s">
        <v>31</v>
      </c>
      <c r="G45" s="9">
        <v>43739</v>
      </c>
      <c r="H45" s="7" t="s">
        <v>246</v>
      </c>
      <c r="I45" s="37"/>
      <c r="J45" s="37"/>
      <c r="K45" s="37"/>
      <c r="L45" s="37"/>
      <c r="M45" s="37"/>
      <c r="N45" s="37"/>
      <c r="O45" s="37"/>
      <c r="P45" s="37"/>
      <c r="Q45" s="37" t="s">
        <v>179</v>
      </c>
      <c r="R45" s="38"/>
    </row>
    <row r="46" spans="2:23">
      <c r="B46" s="120"/>
      <c r="C46" s="121"/>
      <c r="D46" s="89" t="s">
        <v>31</v>
      </c>
      <c r="G46" s="10"/>
      <c r="H46" s="60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B47" s="120"/>
      <c r="C47" s="121"/>
      <c r="D47" s="89" t="s">
        <v>31</v>
      </c>
      <c r="G47" s="10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B48" s="122"/>
      <c r="C48" s="123"/>
      <c r="D48" s="90" t="s">
        <v>31</v>
      </c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</row>
    <row r="49" spans="7:18">
      <c r="G49" s="9">
        <v>43586</v>
      </c>
      <c r="H49" s="60" t="s">
        <v>166</v>
      </c>
      <c r="I49" s="37"/>
      <c r="J49" s="37"/>
      <c r="K49" s="37"/>
      <c r="L49" s="37"/>
      <c r="M49" s="37"/>
      <c r="N49" s="37"/>
      <c r="O49" s="37"/>
      <c r="P49" s="37"/>
      <c r="Q49" s="37"/>
      <c r="R49" s="38"/>
    </row>
    <row r="50" spans="7:18">
      <c r="G50" s="10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8"/>
    </row>
    <row r="51" spans="7:18">
      <c r="G51" s="9">
        <v>43282</v>
      </c>
      <c r="H51" s="37" t="s">
        <v>162</v>
      </c>
      <c r="I51" s="37"/>
      <c r="J51" s="37"/>
      <c r="K51" s="37"/>
      <c r="L51" s="37"/>
      <c r="M51" s="37"/>
      <c r="N51" s="37"/>
      <c r="O51" s="37"/>
      <c r="P51" s="37"/>
      <c r="Q51" s="37"/>
      <c r="R51" s="38"/>
    </row>
    <row r="52" spans="7:18">
      <c r="G52" s="10"/>
      <c r="H52" s="8" t="s">
        <v>163</v>
      </c>
      <c r="I52" s="37"/>
      <c r="J52" s="37"/>
      <c r="K52" s="37"/>
      <c r="L52" s="37"/>
      <c r="M52" s="37"/>
      <c r="N52" s="37"/>
      <c r="O52" s="37"/>
      <c r="P52" s="37"/>
      <c r="Q52" s="37"/>
      <c r="R52" s="38"/>
    </row>
    <row r="53" spans="7:18">
      <c r="G53" s="10"/>
      <c r="H53" s="8" t="s">
        <v>165</v>
      </c>
      <c r="I53" s="60"/>
      <c r="J53" s="60"/>
      <c r="K53" s="60"/>
      <c r="L53" s="60"/>
      <c r="M53" s="60"/>
      <c r="N53" s="60"/>
      <c r="O53" s="60"/>
      <c r="P53" s="60"/>
      <c r="Q53" s="60"/>
      <c r="R53" s="38"/>
    </row>
    <row r="54" spans="7:18">
      <c r="G54" s="1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38"/>
    </row>
    <row r="55" spans="7:18">
      <c r="G55" s="91">
        <v>42552</v>
      </c>
      <c r="H55" s="54" t="s">
        <v>240</v>
      </c>
      <c r="I55" s="35"/>
      <c r="J55" s="35"/>
      <c r="K55" s="35"/>
      <c r="L55" s="35"/>
      <c r="M55" s="35"/>
      <c r="N55" s="35"/>
      <c r="O55" s="35"/>
      <c r="P55" s="35"/>
      <c r="Q55" s="35"/>
      <c r="R55" s="36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11" r:id="rId1" xr:uid="{0E1650AB-35EE-47C2-9B99-22A7BB88CC6F}"/>
    <hyperlink ref="H15" r:id="rId2" xr:uid="{64917365-2EAB-45F1-BFD3-E1E4F5A494BB}"/>
    <hyperlink ref="C34:D34" r:id="rId3" display="Link" xr:uid="{11C3F337-5FA5-4654-84A9-81E0FD7B340B}"/>
    <hyperlink ref="R40" r:id="rId4" location="Boeing_Embraer_-_Defense" xr:uid="{CC492105-8696-4FC6-849B-A673602C4CB8}"/>
    <hyperlink ref="H19" r:id="rId5" xr:uid="{E8520AE3-EE90-4F9C-82B7-9DC79CF177B0}"/>
    <hyperlink ref="H22" r:id="rId6" display="L3Harris &amp; Embraer to develop new agile tanker varient of KC-390 to support USAF Operational Imperatives" xr:uid="{51AAA14D-A039-4171-BC04-5AAB9894A308}"/>
    <hyperlink ref="R25" r:id="rId7" display="Link" xr:uid="{AE9B4E32-1957-4A54-8E54-10A62C8F25C4}"/>
    <hyperlink ref="H28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2" r:id="rId12" xr:uid="{3143C16C-C4FE-C24A-A852-CE844A7EAA94}"/>
    <hyperlink ref="H4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36" r:id="rId16" xr:uid="{A3EFD621-318B-6143-AEF4-A74D7A31D835}"/>
    <hyperlink ref="H8" r:id="rId17" xr:uid="{78DCAE8D-F9F2-4AFF-AEAC-B88136D9C452}"/>
    <hyperlink ref="H6" r:id="rId18" xr:uid="{3999C1A1-07EF-48B9-810B-2F4E5BB942AE}"/>
  </hyperlinks>
  <pageMargins left="0.7" right="0.7" top="0.75" bottom="0.75" header="0.3" footer="0.3"/>
  <pageSetup paperSize="256" orientation="portrait" horizontalDpi="203" verticalDpi="203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zoomScaleNormal="100" workbookViewId="0">
      <pane xSplit="2" ySplit="3" topLeftCell="C83" activePane="bottomRight" state="frozen"/>
      <selection pane="topRight" activeCell="C1" sqref="C1"/>
      <selection pane="bottomLeft" activeCell="A4" sqref="A4"/>
      <selection pane="bottomRight" activeCell="S124" sqref="S124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24" t="s">
        <v>75</v>
      </c>
      <c r="V1" s="15" t="s">
        <v>76</v>
      </c>
      <c r="X1" s="15" t="s">
        <v>253</v>
      </c>
      <c r="Y1" s="24" t="s">
        <v>252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U2" s="22">
        <v>44834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U3" s="23">
        <v>44879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U4" s="52">
        <v>253.3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U5" s="52">
        <v>271.7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U6" s="52">
        <v>101.7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U7" s="52">
        <v>295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U8" s="52">
        <v>7.3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U9" s="26">
        <v>929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U10" s="3">
        <v>751.6</v>
      </c>
      <c r="V10" s="27"/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U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U11" s="26">
        <f t="shared" si="1"/>
        <v>177.39999999999998</v>
      </c>
      <c r="V11" s="26"/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U12" s="3">
        <v>42.1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U13" s="3">
        <v>72.8</v>
      </c>
      <c r="V13" s="25"/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U14" s="3">
        <v>-20.5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U15" s="3">
        <v>29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U16" s="3">
        <v>-44.9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U17" s="3">
        <v>2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U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U18" s="26">
        <f t="shared" si="4"/>
        <v>11.099999999999987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U19" s="3">
        <f>-33.3-51</f>
        <v>-84.3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U20" s="3">
        <v>27.1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U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U21" s="27">
        <f t="shared" si="7"/>
        <v>-46.100000000000016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U22" s="3">
        <v>-4.7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U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U23" s="26">
        <f t="shared" si="10"/>
        <v>-41.400000000000013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U24" s="26">
        <v>-30.2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U25" s="3">
        <v>-11.2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U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U26" s="28">
        <f t="shared" si="13"/>
        <v>-4.111080860332153E-2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U30" s="34">
        <f t="shared" ref="U30" si="18">U9/Q9-1</f>
        <v>-3.0372612462164716E-2</v>
      </c>
      <c r="X30" s="63" t="s">
        <v>186</v>
      </c>
      <c r="Y30" s="34">
        <f t="shared" ref="Y30" si="19">Y9/X9-1</f>
        <v>-5.7355934359496263E-2</v>
      </c>
      <c r="Z30" s="34">
        <f t="shared" ref="Z30" si="20">Z9/Y9-1</f>
        <v>4.881833977159622E-2</v>
      </c>
      <c r="AA30" s="34">
        <f t="shared" ref="AA30" si="21">AA9/Z9-1</f>
        <v>-6.0828307197426601E-2</v>
      </c>
      <c r="AB30" s="34">
        <f t="shared" ref="AB30" si="22">AB9/AA9-1</f>
        <v>-0.13155686469268568</v>
      </c>
      <c r="AC30" s="34">
        <f t="shared" ref="AC30:AD30" si="23">AC9/AB9-1</f>
        <v>7.7202184930291295E-2</v>
      </c>
      <c r="AD30" s="34">
        <f t="shared" si="23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4">D9/C9-1</f>
        <v>0.30844527751744244</v>
      </c>
      <c r="E31" s="25">
        <f t="shared" ref="E31" si="25">E9/D9-1</f>
        <v>-7.7357739753282972E-2</v>
      </c>
      <c r="F31" s="25">
        <f t="shared" ref="F31" si="26">F9/E9-1</f>
        <v>0.46433192443716043</v>
      </c>
      <c r="G31" s="25">
        <f t="shared" ref="G31" si="27">G9/F9-1</f>
        <v>-0.51502120640904803</v>
      </c>
      <c r="H31" s="25">
        <f t="shared" ref="H31" si="28">H9/G9-1</f>
        <v>0.67460221061581449</v>
      </c>
      <c r="I31" s="25">
        <f t="shared" ref="I31" si="29">I9/H9-1</f>
        <v>-0.14731268586349466</v>
      </c>
      <c r="J31" s="25">
        <f t="shared" ref="J31" si="30">J9/I9-1</f>
        <v>0.77356243620279019</v>
      </c>
      <c r="K31" s="25">
        <f t="shared" ref="K31" si="31">K9/J9-1</f>
        <v>-0.69601918465227819</v>
      </c>
      <c r="L31" s="25">
        <f t="shared" ref="L31" si="32">L9/K9-1</f>
        <v>-0.15241401072893646</v>
      </c>
      <c r="M31" s="25">
        <f t="shared" ref="M31" si="33">M9/L9-1</f>
        <v>0.41232315711094558</v>
      </c>
      <c r="N31" s="25">
        <f t="shared" ref="N31:O31" si="34">N9/M9-1</f>
        <v>1.4270462633451957</v>
      </c>
      <c r="O31" s="25">
        <f t="shared" si="34"/>
        <v>-0.56158357771261003</v>
      </c>
      <c r="P31" s="25">
        <f>P9/O9-1</f>
        <v>0.40034683512944391</v>
      </c>
      <c r="Q31" s="25">
        <f t="shared" ref="Q31:R31" si="35">Q9/P9-1</f>
        <v>-0.15249889429455987</v>
      </c>
      <c r="R31" s="25">
        <f t="shared" si="35"/>
        <v>0.35820895522388052</v>
      </c>
      <c r="S31" s="25">
        <f>S9/R9-1</f>
        <v>-0.53823099976946132</v>
      </c>
      <c r="T31" s="25">
        <f>T9/S9-1</f>
        <v>0.69562323181893837</v>
      </c>
      <c r="U31" s="25">
        <f t="shared" ref="U31" si="36">U9/T9-1</f>
        <v>-8.8232407498282428E-2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7">D15/C15-1</f>
        <v>3.0612244897959107E-2</v>
      </c>
      <c r="E32" s="64">
        <f t="shared" ref="E32" si="38">E15/D15-1</f>
        <v>-0.13861386138613863</v>
      </c>
      <c r="F32" s="64">
        <f t="shared" ref="F32:S32" si="39">F15/E15-1</f>
        <v>1.0114942528735633</v>
      </c>
      <c r="G32" s="64">
        <f t="shared" si="39"/>
        <v>-0.46857142857142853</v>
      </c>
      <c r="H32" s="64">
        <f t="shared" si="39"/>
        <v>0.26881720430107525</v>
      </c>
      <c r="I32" s="64">
        <f t="shared" si="39"/>
        <v>-1.6949152542372947E-2</v>
      </c>
      <c r="J32" s="64">
        <f t="shared" si="39"/>
        <v>0.44827586206896552</v>
      </c>
      <c r="K32" s="64">
        <f t="shared" si="39"/>
        <v>-0.65476190476190477</v>
      </c>
      <c r="L32" s="64">
        <f t="shared" si="39"/>
        <v>0.10344827586206895</v>
      </c>
      <c r="M32" s="64">
        <f t="shared" si="39"/>
        <v>0.10937499999999978</v>
      </c>
      <c r="N32" s="64">
        <f t="shared" si="39"/>
        <v>0.47887323943661975</v>
      </c>
      <c r="O32" s="64">
        <f t="shared" si="39"/>
        <v>-0.19999999999999996</v>
      </c>
      <c r="P32" s="64">
        <f t="shared" si="39"/>
        <v>0.10714285714285721</v>
      </c>
      <c r="Q32" s="64">
        <f t="shared" si="39"/>
        <v>0.10752688172043001</v>
      </c>
      <c r="R32" s="64">
        <f t="shared" si="39"/>
        <v>0.45631067961165028</v>
      </c>
      <c r="S32" s="64">
        <f t="shared" si="39"/>
        <v>0.15999999999999992</v>
      </c>
      <c r="T32" s="64">
        <f>T15/S15-1</f>
        <v>0.43103448275862077</v>
      </c>
      <c r="U32" s="64">
        <f t="shared" ref="U32" si="40">U15/T15-1</f>
        <v>0.16465863453815266</v>
      </c>
      <c r="X32" s="63" t="s">
        <v>186</v>
      </c>
      <c r="Y32" s="69">
        <f t="shared" ref="Y32" si="41">Y15/X15-1</f>
        <v>-0.11464968152866239</v>
      </c>
      <c r="Z32" s="69">
        <f t="shared" ref="Z32" si="42">Z15/Y15-1</f>
        <v>0.14148681055155876</v>
      </c>
      <c r="AA32" s="69">
        <f t="shared" ref="AA32" si="43">AA15/Z15-1</f>
        <v>3.3613445378151363E-2</v>
      </c>
      <c r="AB32" s="69">
        <f t="shared" ref="AB32" si="44">AB15/AA15-1</f>
        <v>-6.3008130081300795E-2</v>
      </c>
      <c r="AC32" s="69">
        <f t="shared" ref="AC32:AD32" si="45">AC15/AB15-1</f>
        <v>7.1583514099782919E-2</v>
      </c>
      <c r="AD32" s="69">
        <f t="shared" si="45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6">C11/C9</f>
        <v>0.15630532125377478</v>
      </c>
      <c r="D36" s="25">
        <f t="shared" si="46"/>
        <v>0.11165937126939909</v>
      </c>
      <c r="E36" s="25">
        <f t="shared" ref="E36:G36" si="47">E11/E9</f>
        <v>0.18873458121280079</v>
      </c>
      <c r="F36" s="25">
        <f t="shared" ref="F36" si="48">F11/F9</f>
        <v>0.15398209236569266</v>
      </c>
      <c r="G36" s="25">
        <f t="shared" si="47"/>
        <v>0.19907688570387463</v>
      </c>
      <c r="H36" s="25">
        <f>H11/H9</f>
        <v>0.14404874156814398</v>
      </c>
      <c r="I36" s="25">
        <f t="shared" ref="I36:J36" si="49">I11/I9</f>
        <v>0.13133718952024487</v>
      </c>
      <c r="J36" s="25">
        <f t="shared" si="49"/>
        <v>0.13362110311750594</v>
      </c>
      <c r="K36" s="25">
        <f t="shared" ref="K36" si="50">K11/K9</f>
        <v>0.29031240138845055</v>
      </c>
      <c r="L36" s="25">
        <f t="shared" ref="L36" si="51">L11/L9</f>
        <v>3.0528667163067926E-2</v>
      </c>
      <c r="M36" s="25">
        <f>M11/M9</f>
        <v>7.2228812442335658E-2</v>
      </c>
      <c r="N36" s="25">
        <f t="shared" ref="N36" si="52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3">Q11/Q9</f>
        <v>0.18964617472080164</v>
      </c>
      <c r="R36" s="25">
        <f t="shared" si="53"/>
        <v>0.1504649196956889</v>
      </c>
      <c r="S36" s="25">
        <f t="shared" ref="S36" si="54">S11/S9</f>
        <v>0.20086536861374604</v>
      </c>
      <c r="T36" s="25">
        <f>T11/T9</f>
        <v>0.2289724212385906</v>
      </c>
      <c r="U36" s="25">
        <f t="shared" ref="U36" si="55">U11/U9</f>
        <v>0.19095801937567275</v>
      </c>
      <c r="X36" s="25">
        <f t="shared" ref="X36:Y36" si="56">X11/X9</f>
        <v>0.19884556672179113</v>
      </c>
      <c r="Y36" s="25">
        <f t="shared" si="56"/>
        <v>0.18746309947537998</v>
      </c>
      <c r="Z36" s="25">
        <f t="shared" ref="Z36:AA36" si="57">Z11/Z9</f>
        <v>0.19892239646160034</v>
      </c>
      <c r="AA36" s="25">
        <f t="shared" si="57"/>
        <v>0.18253900296268397</v>
      </c>
      <c r="AB36" s="25">
        <f t="shared" ref="AB36:AC36" si="58">AB11/AB9</f>
        <v>0.15144643174064798</v>
      </c>
      <c r="AC36" s="25">
        <f t="shared" si="58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9">C18/C9</f>
        <v>-5.5191086118922062E-3</v>
      </c>
      <c r="D37" s="25">
        <f t="shared" si="59"/>
        <v>-1.4086748905690451E-2</v>
      </c>
      <c r="E37" s="25">
        <f t="shared" ref="E37:G37" si="60">E18/E9</f>
        <v>4.6838609505736171E-2</v>
      </c>
      <c r="F37" s="25">
        <f t="shared" ref="F37" si="61">F18/F9</f>
        <v>3.8878416588123597E-3</v>
      </c>
      <c r="G37" s="25">
        <f t="shared" si="60"/>
        <v>-1.8462285922507007E-2</v>
      </c>
      <c r="H37" s="25">
        <f>H18/H9</f>
        <v>1.9293537390295309E-2</v>
      </c>
      <c r="I37" s="25">
        <f t="shared" ref="I37:J37" si="62">I18/I9</f>
        <v>-1.7693092888737785E-2</v>
      </c>
      <c r="J37" s="25">
        <f t="shared" si="62"/>
        <v>-3.2422062350119955E-2</v>
      </c>
      <c r="K37" s="25">
        <f t="shared" ref="K37" si="63">K18/K9</f>
        <v>-7.3998106658251905E-2</v>
      </c>
      <c r="L37" s="25">
        <f t="shared" ref="L37" si="64">L18/L9</f>
        <v>-0.63737900223380473</v>
      </c>
      <c r="M37" s="25">
        <f>M18/M9</f>
        <v>-4.9690259654672372E-2</v>
      </c>
      <c r="N37" s="25">
        <f t="shared" ref="N37" si="65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6">Q18/Q9</f>
        <v>3.1311971610479127E-2</v>
      </c>
      <c r="R37" s="25">
        <f t="shared" si="66"/>
        <v>4.6568815799584988E-2</v>
      </c>
      <c r="S37" s="25">
        <f t="shared" ref="S37" si="67">S18/S9</f>
        <v>-6.0409385921118344E-2</v>
      </c>
      <c r="T37" s="25">
        <f>T18/T9</f>
        <v>6.5462753950338556E-2</v>
      </c>
      <c r="U37" s="25">
        <f t="shared" ref="U37" si="68">U18/U9</f>
        <v>1.1948331539289545E-2</v>
      </c>
      <c r="X37" s="25">
        <f t="shared" ref="X37:Y37" si="69">X18/X9</f>
        <v>8.6391680447780173E-2</v>
      </c>
      <c r="Y37" s="25">
        <f t="shared" si="69"/>
        <v>5.5920109309896944E-2</v>
      </c>
      <c r="Z37" s="25">
        <f t="shared" ref="Z37:AA37" si="70">Z18/Z9</f>
        <v>3.3132287897064766E-2</v>
      </c>
      <c r="AA37" s="25">
        <f t="shared" si="70"/>
        <v>5.6393745825698366E-2</v>
      </c>
      <c r="AB37" s="25">
        <f t="shared" ref="AB37:AC37" si="71">AB18/AB9</f>
        <v>6.9610143755792601E-3</v>
      </c>
      <c r="AC37" s="25">
        <f t="shared" si="71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72">C23/C9</f>
        <v>-3.6342809538685919E-2</v>
      </c>
      <c r="D38" s="25">
        <f t="shared" si="72"/>
        <v>-9.9243931555909312E-2</v>
      </c>
      <c r="E38" s="25">
        <f t="shared" ref="E38:G38" si="73">E23/E9</f>
        <v>-9.1434486327957032E-3</v>
      </c>
      <c r="F38" s="25">
        <f t="shared" ref="F38" si="74">F23/F9</f>
        <v>2.2384542884070799E-3</v>
      </c>
      <c r="G38" s="25">
        <f t="shared" si="73"/>
        <v>-5.0042511842584743E-2</v>
      </c>
      <c r="H38" s="25">
        <f>H23/H9</f>
        <v>6.6729527816059642E-3</v>
      </c>
      <c r="I38" s="25">
        <f t="shared" ref="I38:J38" si="75">I23/I9</f>
        <v>-6.4052398775093694E-2</v>
      </c>
      <c r="J38" s="25">
        <f t="shared" si="75"/>
        <v>-0.10033573141486815</v>
      </c>
      <c r="K38" s="25">
        <f t="shared" ref="K38" si="76">K23/K9</f>
        <v>-0.45850426001893357</v>
      </c>
      <c r="L38" s="25">
        <f t="shared" ref="L38" si="77">L23/L9</f>
        <v>-0.58190618019359619</v>
      </c>
      <c r="M38" s="25">
        <f>M23/M9</f>
        <v>-0.15750626070910759</v>
      </c>
      <c r="N38" s="25">
        <f t="shared" ref="N38" si="78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9">Q23/Q9</f>
        <v>-4.7698570086629734E-2</v>
      </c>
      <c r="R38" s="25">
        <f t="shared" si="79"/>
        <v>2.3053869207714925E-3</v>
      </c>
      <c r="S38" s="25">
        <f t="shared" ref="S38" si="80">S23/S9</f>
        <v>-5.1090031619237815E-2</v>
      </c>
      <c r="T38" s="25">
        <f>T23/T9</f>
        <v>7.2725488271665487E-2</v>
      </c>
      <c r="U38" s="25">
        <f t="shared" ref="U38" si="81">U23/U9</f>
        <v>-4.4564047362755668E-2</v>
      </c>
      <c r="X38" s="25">
        <f t="shared" ref="X38:Y38" si="82">X23/X9</f>
        <v>5.5288767332400457E-2</v>
      </c>
      <c r="Y38" s="25">
        <f t="shared" si="82"/>
        <v>1.3629999493935688E-2</v>
      </c>
      <c r="Z38" s="25">
        <f t="shared" ref="Z38:AA38" si="83">Z23/Z9</f>
        <v>2.6988339364696447E-2</v>
      </c>
      <c r="AA38" s="25">
        <f t="shared" si="83"/>
        <v>4.5005394482215411E-2</v>
      </c>
      <c r="AB38" s="25">
        <f t="shared" ref="AB38:AC38" si="84">AB23/AB9</f>
        <v>-3.3759933742186117E-2</v>
      </c>
      <c r="AC38" s="25">
        <f t="shared" si="84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85">C22/C21</f>
        <v>0.35250463821892336</v>
      </c>
      <c r="D39" s="25">
        <f t="shared" si="85"/>
        <v>-0.80986937590711117</v>
      </c>
      <c r="E39" s="25">
        <f t="shared" ref="E39:G39" si="86">E22/E21</f>
        <v>2.3417721518987515</v>
      </c>
      <c r="F39" s="25">
        <f t="shared" ref="F39" si="87">F22/F21</f>
        <v>1.255033557046968</v>
      </c>
      <c r="G39" s="25">
        <f t="shared" si="86"/>
        <v>0.12711864406779658</v>
      </c>
      <c r="H39" s="25">
        <f>H22/H21</f>
        <v>2.4375000000000546</v>
      </c>
      <c r="I39" s="25">
        <f t="shared" ref="I39:J39" si="88">I22/I21</f>
        <v>-1.0974930362116948</v>
      </c>
      <c r="J39" s="25">
        <f t="shared" si="88"/>
        <v>-1.1633919338159242</v>
      </c>
      <c r="K39" s="25">
        <f t="shared" ref="K39:L39" si="89">K22/K21</f>
        <v>-1.6982358402971207</v>
      </c>
      <c r="L39" s="25">
        <f t="shared" si="89"/>
        <v>0.19887237314197853</v>
      </c>
      <c r="M39" s="25">
        <f>M22/M21</f>
        <v>0.19582772543741597</v>
      </c>
      <c r="N39" s="25">
        <f t="shared" ref="N39" si="90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91">Q22/Q21</f>
        <v>-0.82800000000000162</v>
      </c>
      <c r="R39" s="25">
        <f t="shared" si="91"/>
        <v>0.94800693240901301</v>
      </c>
      <c r="S39" s="25">
        <f t="shared" ref="S39" si="92">S22/S21</f>
        <v>0.62098765432098757</v>
      </c>
      <c r="T39" s="25">
        <f>T22/T21</f>
        <v>-0.49696969696969745</v>
      </c>
      <c r="U39" s="25">
        <f t="shared" ref="U39" si="93">U22/U21</f>
        <v>0.10195227765726678</v>
      </c>
      <c r="X39" s="25">
        <f t="shared" ref="X39:Y39" si="94">X22/X21</f>
        <v>0.30998213931335583</v>
      </c>
      <c r="Y39" s="25">
        <f t="shared" si="94"/>
        <v>0.75966686496133218</v>
      </c>
      <c r="Z39" s="25">
        <f t="shared" ref="Z39:AA39" si="95">Z22/Z21</f>
        <v>-5.4682589566310433E-2</v>
      </c>
      <c r="AA39" s="25">
        <f t="shared" si="95"/>
        <v>8.8449531737773007E-2</v>
      </c>
      <c r="AB39" s="25">
        <f t="shared" ref="AB39:AC39" si="96">AB22/AB21</f>
        <v>-0.25697503671071947</v>
      </c>
      <c r="AC39" s="25">
        <f t="shared" si="96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7">C44+C52</f>
        <v>25</v>
      </c>
      <c r="D43" s="2">
        <f t="shared" si="97"/>
        <v>48</v>
      </c>
      <c r="E43" s="2">
        <f t="shared" ref="E43:F43" si="98">E44+E52</f>
        <v>39</v>
      </c>
      <c r="F43" s="2">
        <f t="shared" si="98"/>
        <v>69</v>
      </c>
      <c r="G43" s="2">
        <f t="shared" ref="G43:H43" si="99">G44+G52</f>
        <v>22</v>
      </c>
      <c r="H43" s="2">
        <f t="shared" si="99"/>
        <v>51</v>
      </c>
      <c r="I43" s="2">
        <f t="shared" ref="I43:J43" si="100">I44+I52</f>
        <v>44</v>
      </c>
      <c r="J43" s="2">
        <f t="shared" si="100"/>
        <v>81</v>
      </c>
      <c r="K43" s="2">
        <f t="shared" ref="K43:L43" si="101">K44+K52</f>
        <v>14</v>
      </c>
      <c r="L43" s="2">
        <f t="shared" si="101"/>
        <v>17</v>
      </c>
      <c r="M43" s="2">
        <f t="shared" ref="M43" si="102">M44+M52</f>
        <v>48</v>
      </c>
      <c r="N43" s="2">
        <f t="shared" ref="N43:S43" si="103">N44+N52</f>
        <v>71</v>
      </c>
      <c r="O43" s="2">
        <f t="shared" ref="O43" si="104">O44+O52</f>
        <v>22</v>
      </c>
      <c r="P43" s="2">
        <f t="shared" si="103"/>
        <v>34</v>
      </c>
      <c r="Q43" s="2">
        <f t="shared" si="103"/>
        <v>30</v>
      </c>
      <c r="R43" s="2">
        <f t="shared" si="103"/>
        <v>55</v>
      </c>
      <c r="S43" s="2">
        <f t="shared" si="103"/>
        <v>26</v>
      </c>
      <c r="T43" s="2">
        <f>T44+T52</f>
        <v>32</v>
      </c>
      <c r="U43" s="2">
        <f t="shared" ref="U43" si="105">U44+U52</f>
        <v>33</v>
      </c>
      <c r="X43" s="2">
        <f t="shared" ref="X43:Y43" si="106">X44+X52</f>
        <v>208</v>
      </c>
      <c r="Y43" s="2">
        <f t="shared" si="106"/>
        <v>221</v>
      </c>
      <c r="Z43" s="2">
        <f t="shared" ref="Z43:AA43" si="107">Z44+Z52</f>
        <v>225</v>
      </c>
      <c r="AA43" s="2">
        <f t="shared" si="107"/>
        <v>210</v>
      </c>
      <c r="AB43" s="2">
        <f t="shared" ref="AB43:AC43" si="108">AB44+AB52</f>
        <v>178</v>
      </c>
      <c r="AC43" s="2">
        <f t="shared" si="108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9">SUM(C45:C50)</f>
        <v>14</v>
      </c>
      <c r="D44" s="40">
        <f>SUM(D45:D50)</f>
        <v>28</v>
      </c>
      <c r="E44" s="40">
        <f>SUM(E45:E50)</f>
        <v>15</v>
      </c>
      <c r="F44" s="40">
        <f t="shared" ref="F44" si="110">SUM(F45:F50)</f>
        <v>33</v>
      </c>
      <c r="G44" s="40">
        <f t="shared" ref="G44" si="111">SUM(G45:G50)</f>
        <v>11</v>
      </c>
      <c r="H44" s="40">
        <f t="shared" ref="H44:T44" si="112">SUM(H45:H50)</f>
        <v>26</v>
      </c>
      <c r="I44" s="40">
        <f t="shared" si="112"/>
        <v>17</v>
      </c>
      <c r="J44" s="40">
        <f t="shared" si="112"/>
        <v>35</v>
      </c>
      <c r="K44" s="40">
        <f t="shared" si="112"/>
        <v>5</v>
      </c>
      <c r="L44" s="40">
        <f t="shared" si="112"/>
        <v>4</v>
      </c>
      <c r="M44" s="40">
        <f t="shared" si="112"/>
        <v>27</v>
      </c>
      <c r="N44" s="40">
        <f t="shared" si="112"/>
        <v>28</v>
      </c>
      <c r="O44" s="40">
        <f t="shared" si="112"/>
        <v>9</v>
      </c>
      <c r="P44" s="40">
        <f t="shared" si="112"/>
        <v>14</v>
      </c>
      <c r="Q44" s="40">
        <f t="shared" si="112"/>
        <v>9</v>
      </c>
      <c r="R44" s="40">
        <f t="shared" si="112"/>
        <v>16</v>
      </c>
      <c r="S44" s="40">
        <f t="shared" si="112"/>
        <v>6</v>
      </c>
      <c r="T44" s="40">
        <f t="shared" si="112"/>
        <v>11</v>
      </c>
      <c r="U44" s="40">
        <f t="shared" ref="U44" si="113">SUM(U45:U50)</f>
        <v>10</v>
      </c>
      <c r="X44" s="40">
        <f t="shared" ref="X44:Y44" si="114">SUM(X45:X50)</f>
        <v>92</v>
      </c>
      <c r="Y44" s="40">
        <f t="shared" si="114"/>
        <v>101</v>
      </c>
      <c r="Z44" s="40">
        <f t="shared" ref="Z44:AA44" si="115">SUM(Z45:Z50)</f>
        <v>108</v>
      </c>
      <c r="AA44" s="40">
        <f t="shared" si="115"/>
        <v>101</v>
      </c>
      <c r="AB44" s="40">
        <f t="shared" ref="AB44:AC44" si="116">SUM(AB45:AB50)</f>
        <v>90</v>
      </c>
      <c r="AC44" s="40">
        <f t="shared" si="116"/>
        <v>89</v>
      </c>
      <c r="AD44" s="40">
        <f t="shared" ref="AD44:AE44" si="117">SUM(AD45:AD50)</f>
        <v>44</v>
      </c>
      <c r="AE44" s="40">
        <f t="shared" si="117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U46" s="39">
        <v>9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U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U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U50" s="39">
        <v>1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18">C53+C54+C55</f>
        <v>11</v>
      </c>
      <c r="D52" s="40">
        <f>D53+D54+D55</f>
        <v>20</v>
      </c>
      <c r="E52" s="40">
        <f>E53+E54+E55</f>
        <v>24</v>
      </c>
      <c r="F52" s="40">
        <f t="shared" ref="F52" si="119">F53+F54+F55</f>
        <v>36</v>
      </c>
      <c r="G52" s="40">
        <f>G53+G54+G55</f>
        <v>11</v>
      </c>
      <c r="H52" s="40">
        <f>H53+H54+H55</f>
        <v>25</v>
      </c>
      <c r="I52" s="40">
        <f t="shared" ref="I52:J52" si="120">I53+I54+I55</f>
        <v>27</v>
      </c>
      <c r="J52" s="40">
        <f t="shared" si="120"/>
        <v>46</v>
      </c>
      <c r="K52" s="40">
        <f>K53+K54+K55</f>
        <v>9</v>
      </c>
      <c r="L52" s="40">
        <f>L53+L54+L55</f>
        <v>13</v>
      </c>
      <c r="M52" s="40">
        <f t="shared" ref="M52" si="121">M53+M54+M55</f>
        <v>21</v>
      </c>
      <c r="N52" s="40">
        <f t="shared" ref="N52:U52" si="122">N53+N54+N55</f>
        <v>43</v>
      </c>
      <c r="O52" s="40">
        <f t="shared" si="122"/>
        <v>13</v>
      </c>
      <c r="P52" s="40">
        <f t="shared" si="122"/>
        <v>20</v>
      </c>
      <c r="Q52" s="40">
        <f t="shared" si="122"/>
        <v>21</v>
      </c>
      <c r="R52" s="40">
        <f t="shared" si="122"/>
        <v>39</v>
      </c>
      <c r="S52" s="40">
        <f t="shared" si="122"/>
        <v>20</v>
      </c>
      <c r="T52" s="40">
        <f t="shared" si="122"/>
        <v>21</v>
      </c>
      <c r="U52" s="40">
        <f t="shared" si="122"/>
        <v>23</v>
      </c>
      <c r="X52" s="40">
        <f t="shared" ref="X52:Y52" si="123">X53+X54+X55</f>
        <v>116</v>
      </c>
      <c r="Y52" s="40">
        <f t="shared" si="123"/>
        <v>120</v>
      </c>
      <c r="Z52" s="40">
        <f t="shared" ref="Z52:AA52" si="124">Z53+Z54+Z55</f>
        <v>117</v>
      </c>
      <c r="AA52" s="40">
        <f t="shared" si="124"/>
        <v>109</v>
      </c>
      <c r="AB52" s="40">
        <f t="shared" ref="AB52:AC52" si="125">AB53+AB54+AB55</f>
        <v>88</v>
      </c>
      <c r="AC52" s="40">
        <f t="shared" si="125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U53" s="39">
        <v>15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U54" s="39">
        <v>8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U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26">G43/C43-1</f>
        <v>-0.12</v>
      </c>
      <c r="H57" s="65">
        <f t="shared" si="126"/>
        <v>6.25E-2</v>
      </c>
      <c r="I57" s="65">
        <f t="shared" si="126"/>
        <v>0.12820512820512819</v>
      </c>
      <c r="J57" s="65">
        <f t="shared" si="126"/>
        <v>0.17391304347826098</v>
      </c>
      <c r="K57" s="65">
        <f t="shared" si="126"/>
        <v>-0.36363636363636365</v>
      </c>
      <c r="L57" s="65">
        <f t="shared" si="126"/>
        <v>-0.66666666666666674</v>
      </c>
      <c r="M57" s="65">
        <f t="shared" si="126"/>
        <v>9.0909090909090828E-2</v>
      </c>
      <c r="N57" s="65">
        <f t="shared" si="126"/>
        <v>-0.12345679012345678</v>
      </c>
      <c r="O57" s="65">
        <f t="shared" si="126"/>
        <v>0.5714285714285714</v>
      </c>
      <c r="P57" s="65">
        <f t="shared" si="126"/>
        <v>1</v>
      </c>
      <c r="Q57" s="65">
        <f t="shared" si="126"/>
        <v>-0.375</v>
      </c>
      <c r="R57" s="65">
        <f t="shared" si="126"/>
        <v>-0.22535211267605637</v>
      </c>
      <c r="S57" s="65">
        <f t="shared" si="126"/>
        <v>0.18181818181818188</v>
      </c>
      <c r="T57" s="65">
        <f>T43/P43-1</f>
        <v>-5.8823529411764719E-2</v>
      </c>
      <c r="U57" s="65">
        <f t="shared" ref="U57" si="127">U43/Q43-1</f>
        <v>0.10000000000000009</v>
      </c>
      <c r="X57" s="66" t="s">
        <v>186</v>
      </c>
      <c r="Y57" s="65">
        <f t="shared" ref="Y57" si="128">Y43/X43-1</f>
        <v>6.25E-2</v>
      </c>
      <c r="Z57" s="65">
        <f t="shared" ref="Z57" si="129">Z43/Y43-1</f>
        <v>1.8099547511312153E-2</v>
      </c>
      <c r="AA57" s="65">
        <f t="shared" ref="AA57" si="130">AA43/Z43-1</f>
        <v>-6.6666666666666652E-2</v>
      </c>
      <c r="AB57" s="65">
        <f t="shared" ref="AB57" si="131">AB43/AA43-1</f>
        <v>-0.15238095238095239</v>
      </c>
      <c r="AC57" s="65">
        <f t="shared" ref="AC57:AD57" si="132">AC43/AB43-1</f>
        <v>0.11235955056179781</v>
      </c>
      <c r="AD57" s="65">
        <f t="shared" si="13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33">D43/C43-1</f>
        <v>0.91999999999999993</v>
      </c>
      <c r="E58" s="64">
        <f t="shared" ref="E58" si="134">E43/D43-1</f>
        <v>-0.1875</v>
      </c>
      <c r="F58" s="64">
        <f t="shared" ref="F58:S58" si="135">F43/E43-1</f>
        <v>0.76923076923076916</v>
      </c>
      <c r="G58" s="64">
        <f t="shared" si="135"/>
        <v>-0.6811594202898551</v>
      </c>
      <c r="H58" s="64">
        <f t="shared" si="135"/>
        <v>1.3181818181818183</v>
      </c>
      <c r="I58" s="64">
        <f t="shared" si="135"/>
        <v>-0.13725490196078427</v>
      </c>
      <c r="J58" s="64">
        <f t="shared" si="135"/>
        <v>0.84090909090909083</v>
      </c>
      <c r="K58" s="64">
        <f t="shared" si="135"/>
        <v>-0.8271604938271605</v>
      </c>
      <c r="L58" s="64">
        <f t="shared" si="135"/>
        <v>0.21428571428571419</v>
      </c>
      <c r="M58" s="64">
        <f t="shared" si="135"/>
        <v>1.8235294117647061</v>
      </c>
      <c r="N58" s="64">
        <f t="shared" si="135"/>
        <v>0.47916666666666674</v>
      </c>
      <c r="O58" s="64">
        <f t="shared" si="135"/>
        <v>-0.6901408450704225</v>
      </c>
      <c r="P58" s="64">
        <f t="shared" si="135"/>
        <v>0.54545454545454541</v>
      </c>
      <c r="Q58" s="64">
        <f t="shared" si="135"/>
        <v>-0.11764705882352944</v>
      </c>
      <c r="R58" s="64">
        <f t="shared" si="135"/>
        <v>0.83333333333333326</v>
      </c>
      <c r="S58" s="64">
        <f t="shared" si="135"/>
        <v>-0.52727272727272734</v>
      </c>
      <c r="T58" s="64">
        <f>T43/S43-1</f>
        <v>0.23076923076923084</v>
      </c>
      <c r="U58" s="64">
        <f t="shared" ref="U58" si="136">U43/T43-1</f>
        <v>3.125E-2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U61" s="26">
        <v>1305.0999999999999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U62" s="26">
        <v>382.6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U63" s="27">
        <v>257.2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37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U64" s="27">
        <v>2.8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38">F64</f>
        <v>5.4</v>
      </c>
      <c r="AC64" s="27">
        <f t="shared" ref="AC64:AC86" si="139">J64</f>
        <v>1.4</v>
      </c>
      <c r="AD64" s="27">
        <f t="shared" si="137"/>
        <v>8.3000000000000007</v>
      </c>
      <c r="AE64" s="27">
        <f t="shared" ref="AE64:AE86" si="140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U65" s="27">
        <v>9.9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38"/>
        <v>1.2</v>
      </c>
      <c r="AC65" s="27">
        <f t="shared" si="139"/>
        <v>1.5</v>
      </c>
      <c r="AD65" s="27">
        <f t="shared" si="137"/>
        <v>8.5</v>
      </c>
      <c r="AE65" s="27">
        <f t="shared" si="140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38"/>
        <v>218.5</v>
      </c>
      <c r="AC66" s="27">
        <f t="shared" si="139"/>
        <v>4</v>
      </c>
      <c r="AD66" s="27">
        <f t="shared" si="137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U67" s="27">
        <v>632.20000000000005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38"/>
        <v>358</v>
      </c>
      <c r="AC67" s="27">
        <f t="shared" si="139"/>
        <v>495.7</v>
      </c>
      <c r="AD67" s="27">
        <f t="shared" si="137"/>
        <v>461.8</v>
      </c>
      <c r="AE67" s="27">
        <f t="shared" si="140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U68" s="26">
        <v>2678.6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U69" s="27">
        <v>105.2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38"/>
        <v>95.3</v>
      </c>
      <c r="AC69" s="27">
        <f t="shared" si="139"/>
        <v>92.6</v>
      </c>
      <c r="AD69" s="27">
        <f t="shared" ref="AD69:AD72" si="141">N69</f>
        <v>114.1</v>
      </c>
      <c r="AE69" s="27">
        <f t="shared" si="140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U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38"/>
        <v>339.9</v>
      </c>
      <c r="AC70" s="27">
        <f t="shared" si="139"/>
        <v>0.2</v>
      </c>
      <c r="AD70" s="27">
        <f t="shared" si="141"/>
        <v>0.2</v>
      </c>
      <c r="AE70" s="27">
        <f t="shared" si="140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U71" s="27">
        <v>208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38"/>
        <v>203.5</v>
      </c>
      <c r="AC71" s="27">
        <f t="shared" si="139"/>
        <v>199.4</v>
      </c>
      <c r="AD71" s="27">
        <f t="shared" si="141"/>
        <v>180.9</v>
      </c>
      <c r="AE71" s="27">
        <f t="shared" si="140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U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38"/>
        <v>0</v>
      </c>
      <c r="AC72" s="27">
        <f t="shared" si="139"/>
        <v>0</v>
      </c>
      <c r="AD72" s="27">
        <f t="shared" si="141"/>
        <v>0</v>
      </c>
      <c r="AE72" s="27">
        <f t="shared" si="140"/>
        <v>230.9</v>
      </c>
    </row>
    <row r="73" spans="2:31">
      <c r="B73" s="3" t="s">
        <v>104</v>
      </c>
      <c r="C73" s="27">
        <f t="shared" ref="C73:U73" si="142">SUM(C61:C72)</f>
        <v>7152.2</v>
      </c>
      <c r="D73" s="27">
        <f t="shared" si="142"/>
        <v>7091.7</v>
      </c>
      <c r="E73" s="27">
        <f t="shared" si="142"/>
        <v>7067.9</v>
      </c>
      <c r="F73" s="27">
        <f t="shared" si="142"/>
        <v>7071.0999999999995</v>
      </c>
      <c r="G73" s="27">
        <f t="shared" si="142"/>
        <v>7000.3</v>
      </c>
      <c r="H73" s="27">
        <f t="shared" si="142"/>
        <v>7009.2</v>
      </c>
      <c r="I73" s="27">
        <f t="shared" si="142"/>
        <v>6737.2</v>
      </c>
      <c r="J73" s="27">
        <f t="shared" si="142"/>
        <v>6191.5999999999995</v>
      </c>
      <c r="K73" s="27">
        <f t="shared" si="142"/>
        <v>6442.2</v>
      </c>
      <c r="L73" s="27">
        <f t="shared" si="142"/>
        <v>6081.4000000000005</v>
      </c>
      <c r="M73" s="27">
        <f t="shared" si="142"/>
        <v>6019.7999999999993</v>
      </c>
      <c r="N73" s="27">
        <f t="shared" si="142"/>
        <v>6115.7</v>
      </c>
      <c r="O73" s="27">
        <f t="shared" si="142"/>
        <v>5903</v>
      </c>
      <c r="P73" s="27">
        <f t="shared" si="142"/>
        <v>5929.3</v>
      </c>
      <c r="Q73" s="27">
        <f t="shared" si="142"/>
        <v>6019.7999999999993</v>
      </c>
      <c r="R73" s="27">
        <f t="shared" si="142"/>
        <v>5875.7999999999993</v>
      </c>
      <c r="S73" s="27">
        <f t="shared" si="142"/>
        <v>5536.6</v>
      </c>
      <c r="T73" s="27">
        <f t="shared" si="142"/>
        <v>5367.9000000000005</v>
      </c>
      <c r="U73" s="27">
        <f t="shared" si="142"/>
        <v>5581.5999999999995</v>
      </c>
      <c r="X73" s="27">
        <f t="shared" ref="X73:AA73" si="143">SUM(X61:X72)</f>
        <v>5810.7</v>
      </c>
      <c r="Y73" s="27">
        <f t="shared" si="143"/>
        <v>6411.5999999999995</v>
      </c>
      <c r="Z73" s="27">
        <f t="shared" si="143"/>
        <v>6781.7</v>
      </c>
      <c r="AA73" s="27">
        <f t="shared" si="143"/>
        <v>7051.7</v>
      </c>
      <c r="AB73" s="27">
        <f t="shared" ref="AB73:AC73" si="144">SUM(AB61:AB72)</f>
        <v>7071.0999999999995</v>
      </c>
      <c r="AC73" s="27">
        <f t="shared" si="144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U74" s="26">
        <v>170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U75" s="27">
        <v>2.9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38"/>
        <v>0</v>
      </c>
      <c r="AC75" s="27">
        <f t="shared" si="139"/>
        <v>0</v>
      </c>
      <c r="AD75" s="27">
        <f t="shared" ref="AD75:AD85" si="145">N75</f>
        <v>0</v>
      </c>
      <c r="AE75" s="27">
        <f t="shared" si="140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U76" s="26">
        <v>5.4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38"/>
        <v>17.399999999999999</v>
      </c>
      <c r="AC77" s="27">
        <f t="shared" si="139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U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38"/>
        <v>9.8000000000000007</v>
      </c>
      <c r="AC78" s="27">
        <f t="shared" si="139"/>
        <v>0.8</v>
      </c>
      <c r="AD78" s="27">
        <f t="shared" si="145"/>
        <v>1.5</v>
      </c>
      <c r="AE78" s="27">
        <f t="shared" si="140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U79" s="27">
        <v>29.2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38"/>
        <v>10.5</v>
      </c>
      <c r="AC79" s="27">
        <f t="shared" si="139"/>
        <v>9.1999999999999993</v>
      </c>
      <c r="AD79" s="27">
        <f t="shared" si="145"/>
        <v>21.4</v>
      </c>
      <c r="AE79" s="27">
        <f t="shared" si="140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U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38"/>
        <v>0</v>
      </c>
      <c r="AC80" s="27">
        <f t="shared" si="139"/>
        <v>0</v>
      </c>
      <c r="AD80" s="27">
        <f t="shared" si="145"/>
        <v>0</v>
      </c>
      <c r="AE80" s="27">
        <f t="shared" si="140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U81" s="27">
        <v>22.8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38"/>
        <v>21.6</v>
      </c>
      <c r="AC81" s="27">
        <f t="shared" si="139"/>
        <v>35</v>
      </c>
      <c r="AD81" s="27">
        <f t="shared" si="145"/>
        <v>104.6</v>
      </c>
      <c r="AE81" s="27">
        <f t="shared" si="140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U82" s="27">
        <v>162.1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38"/>
        <v>105.6</v>
      </c>
      <c r="AC82" s="27">
        <f t="shared" si="139"/>
        <v>93.9</v>
      </c>
      <c r="AD82" s="27">
        <f t="shared" si="145"/>
        <v>120.7</v>
      </c>
      <c r="AE82" s="27">
        <f t="shared" si="140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U83" s="27">
        <v>10.9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38"/>
        <v>6.3</v>
      </c>
      <c r="AC83" s="27">
        <f t="shared" si="139"/>
        <v>8.1</v>
      </c>
      <c r="AD83" s="27">
        <f t="shared" si="145"/>
        <v>5.2</v>
      </c>
      <c r="AE83" s="27">
        <f t="shared" si="140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U84" s="27">
        <v>1645.4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38"/>
        <v>1964.7</v>
      </c>
      <c r="AC84" s="27">
        <f t="shared" si="139"/>
        <v>2058.6</v>
      </c>
      <c r="AD84" s="27">
        <f t="shared" si="145"/>
        <v>1956</v>
      </c>
      <c r="AE84" s="27">
        <f t="shared" si="140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U85" s="27">
        <v>2241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38"/>
        <v>1898.8</v>
      </c>
      <c r="AC85" s="27">
        <f t="shared" si="139"/>
        <v>2051.6999999999998</v>
      </c>
      <c r="AD85" s="27">
        <f t="shared" si="145"/>
        <v>2075.6</v>
      </c>
      <c r="AE85" s="27">
        <f t="shared" si="140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U86" s="27">
        <v>60.2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38"/>
        <v>0</v>
      </c>
      <c r="AC86" s="27">
        <f t="shared" si="139"/>
        <v>48</v>
      </c>
      <c r="AD86" s="27">
        <f>N86</f>
        <v>62.3</v>
      </c>
      <c r="AE86" s="27">
        <f t="shared" si="140"/>
        <v>60.2</v>
      </c>
    </row>
    <row r="87" spans="2:31">
      <c r="B87" s="3" t="s">
        <v>98</v>
      </c>
      <c r="C87" s="27">
        <f t="shared" ref="C87:U87" si="146">SUM(C74:C86)+C73</f>
        <v>11995.099999999999</v>
      </c>
      <c r="D87" s="27">
        <f t="shared" si="146"/>
        <v>11811.099999999999</v>
      </c>
      <c r="E87" s="27">
        <f t="shared" si="146"/>
        <v>11794.5</v>
      </c>
      <c r="F87" s="27">
        <f t="shared" si="146"/>
        <v>11293.4</v>
      </c>
      <c r="G87" s="27">
        <f t="shared" si="146"/>
        <v>11185.6</v>
      </c>
      <c r="H87" s="27">
        <f t="shared" si="146"/>
        <v>11273.4</v>
      </c>
      <c r="I87" s="27">
        <f t="shared" si="146"/>
        <v>11062.5</v>
      </c>
      <c r="J87" s="27">
        <f t="shared" si="146"/>
        <v>10572.5</v>
      </c>
      <c r="K87" s="27">
        <f t="shared" si="146"/>
        <v>10856.099999999999</v>
      </c>
      <c r="L87" s="27">
        <f t="shared" si="146"/>
        <v>10325.400000000001</v>
      </c>
      <c r="M87" s="27">
        <f t="shared" si="146"/>
        <v>10382.700000000001</v>
      </c>
      <c r="N87" s="27">
        <f t="shared" si="146"/>
        <v>10516</v>
      </c>
      <c r="O87" s="27">
        <f t="shared" si="146"/>
        <v>10308.1</v>
      </c>
      <c r="P87" s="27">
        <f t="shared" si="146"/>
        <v>10341.299999999999</v>
      </c>
      <c r="Q87" s="27">
        <f t="shared" si="146"/>
        <v>10382.700000000001</v>
      </c>
      <c r="R87" s="27">
        <f t="shared" si="146"/>
        <v>10155</v>
      </c>
      <c r="S87" s="27">
        <f t="shared" si="146"/>
        <v>9868.4</v>
      </c>
      <c r="T87" s="27">
        <f t="shared" si="146"/>
        <v>9698.7999999999993</v>
      </c>
      <c r="U87" s="27">
        <f t="shared" si="146"/>
        <v>9932.4</v>
      </c>
      <c r="X87" s="27">
        <f t="shared" ref="X87:AA87" si="147">SUM(X74:X86)+X73</f>
        <v>10411</v>
      </c>
      <c r="Y87" s="27">
        <f t="shared" si="147"/>
        <v>11669.5</v>
      </c>
      <c r="Z87" s="27">
        <f t="shared" si="147"/>
        <v>11664.599999999999</v>
      </c>
      <c r="AA87" s="27">
        <f t="shared" si="147"/>
        <v>11936.2</v>
      </c>
      <c r="AB87" s="27">
        <f t="shared" si="138"/>
        <v>11293.4</v>
      </c>
      <c r="AC87" s="27">
        <f t="shared" ref="AC87" si="148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U89" s="27">
        <v>760.5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49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U90" s="27">
        <v>27.5</v>
      </c>
      <c r="X90" s="27">
        <v>0</v>
      </c>
      <c r="Y90" s="27">
        <v>0</v>
      </c>
      <c r="Z90" s="27">
        <f t="shared" ref="Z90:Z91" si="150">G90</f>
        <v>0</v>
      </c>
      <c r="AA90" s="27">
        <f t="shared" ref="AA90" si="151">H90</f>
        <v>0</v>
      </c>
      <c r="AB90" s="27">
        <f t="shared" ref="AB90" si="152">I90</f>
        <v>0</v>
      </c>
      <c r="AC90" s="27">
        <f t="shared" si="149"/>
        <v>0</v>
      </c>
      <c r="AD90" s="27">
        <f t="shared" ref="AD90:AD103" si="153">N90</f>
        <v>0</v>
      </c>
      <c r="AE90" s="27">
        <f t="shared" ref="AE90:AE103" si="154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U91" s="27">
        <v>11</v>
      </c>
      <c r="X91" s="27">
        <v>0</v>
      </c>
      <c r="Y91" s="27">
        <v>0</v>
      </c>
      <c r="Z91" s="27">
        <f t="shared" si="150"/>
        <v>8.5</v>
      </c>
      <c r="AA91" s="27">
        <f t="shared" ref="AA91" si="155">H91</f>
        <v>9.5</v>
      </c>
      <c r="AB91" s="27">
        <f>G91</f>
        <v>8.5</v>
      </c>
      <c r="AC91" s="27">
        <f t="shared" si="149"/>
        <v>8</v>
      </c>
      <c r="AD91" s="27">
        <f t="shared" si="153"/>
        <v>11.4</v>
      </c>
      <c r="AE91" s="27">
        <f t="shared" si="154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U92" s="26">
        <v>280.2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49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56">F93</f>
        <v>324</v>
      </c>
      <c r="AC93" s="27">
        <f t="shared" si="149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U94" s="27">
        <v>305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56"/>
        <v>288.39999999999998</v>
      </c>
      <c r="AC94" s="27">
        <f t="shared" si="149"/>
        <v>289.8</v>
      </c>
      <c r="AD94" s="27">
        <f t="shared" si="153"/>
        <v>249.9</v>
      </c>
      <c r="AE94" s="27">
        <f t="shared" si="154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U95" s="27">
        <v>1410.2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56"/>
        <v>1045.4000000000001</v>
      </c>
      <c r="AC95" s="27">
        <f t="shared" si="149"/>
        <v>1171.7</v>
      </c>
      <c r="AD95" s="27">
        <f t="shared" si="153"/>
        <v>1033</v>
      </c>
      <c r="AE95" s="27">
        <f t="shared" si="154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U96" s="26">
        <v>103.7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U97" s="27">
        <v>36.299999999999997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57">F97</f>
        <v>68.400000000000006</v>
      </c>
      <c r="AC97" s="27">
        <f t="shared" ref="AC97:AC115" si="158">J97</f>
        <v>63.8</v>
      </c>
      <c r="AD97" s="27">
        <f t="shared" si="153"/>
        <v>71.900000000000006</v>
      </c>
      <c r="AE97" s="27">
        <f t="shared" si="154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U98" s="27">
        <v>97.9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57"/>
        <v>48</v>
      </c>
      <c r="AC98" s="27">
        <f t="shared" si="158"/>
        <v>97.5</v>
      </c>
      <c r="AD98" s="27">
        <f t="shared" si="153"/>
        <v>40.700000000000003</v>
      </c>
      <c r="AE98" s="27">
        <f t="shared" si="154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U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57"/>
        <v>51</v>
      </c>
      <c r="AC99" s="27">
        <f t="shared" si="158"/>
        <v>30.7</v>
      </c>
      <c r="AD99" s="27">
        <f t="shared" si="153"/>
        <v>42.6</v>
      </c>
      <c r="AE99" s="27">
        <f t="shared" si="154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U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57"/>
        <v>2</v>
      </c>
      <c r="AC100" s="27">
        <f t="shared" si="158"/>
        <v>2</v>
      </c>
      <c r="AD100" s="27">
        <f t="shared" si="153"/>
        <v>0.5</v>
      </c>
      <c r="AE100" s="27">
        <f t="shared" si="154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U101" s="27">
        <v>115.7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57"/>
        <v>116.9</v>
      </c>
      <c r="AC101" s="27">
        <f t="shared" si="158"/>
        <v>117.3</v>
      </c>
      <c r="AD101" s="27">
        <f t="shared" si="153"/>
        <v>98.5</v>
      </c>
      <c r="AE101" s="27">
        <f t="shared" si="154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U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57"/>
        <v>5</v>
      </c>
      <c r="AC102" s="27">
        <f t="shared" si="158"/>
        <v>1.4</v>
      </c>
      <c r="AD102" s="27">
        <f t="shared" si="153"/>
        <v>1.2</v>
      </c>
      <c r="AE102" s="27">
        <f t="shared" si="154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U103" s="27">
        <v>0</v>
      </c>
      <c r="X103" s="27">
        <v>0</v>
      </c>
      <c r="Y103" s="27">
        <v>0</v>
      </c>
      <c r="Z103" s="27">
        <f t="shared" ref="Z103" si="159">G103</f>
        <v>0</v>
      </c>
      <c r="AA103" s="27">
        <f t="shared" ref="AA103" si="160">H103</f>
        <v>0</v>
      </c>
      <c r="AB103" s="27">
        <f t="shared" si="157"/>
        <v>0</v>
      </c>
      <c r="AC103" s="27">
        <f t="shared" si="158"/>
        <v>0</v>
      </c>
      <c r="AD103" s="27">
        <f t="shared" si="153"/>
        <v>0</v>
      </c>
      <c r="AE103" s="27">
        <f t="shared" si="154"/>
        <v>45.1</v>
      </c>
    </row>
    <row r="104" spans="2:31">
      <c r="B104" s="3" t="s">
        <v>115</v>
      </c>
      <c r="C104" s="27">
        <f t="shared" ref="C104:U104" si="161">SUM(C89:C103)</f>
        <v>2938.9</v>
      </c>
      <c r="D104" s="27">
        <f t="shared" si="161"/>
        <v>2981.9999999999995</v>
      </c>
      <c r="E104" s="27">
        <f t="shared" si="161"/>
        <v>3321.4</v>
      </c>
      <c r="F104" s="27">
        <f t="shared" si="161"/>
        <v>3028.6000000000004</v>
      </c>
      <c r="G104" s="27">
        <f t="shared" si="161"/>
        <v>3116.7999999999997</v>
      </c>
      <c r="H104" s="27">
        <f t="shared" si="161"/>
        <v>3235.1000000000004</v>
      </c>
      <c r="I104" s="27">
        <f t="shared" si="161"/>
        <v>3200.8999999999996</v>
      </c>
      <c r="J104" s="27">
        <f t="shared" si="161"/>
        <v>2838.4</v>
      </c>
      <c r="K104" s="27">
        <f t="shared" si="161"/>
        <v>3364.2999999999993</v>
      </c>
      <c r="L104" s="27">
        <f t="shared" si="161"/>
        <v>2938</v>
      </c>
      <c r="M104" s="27">
        <f t="shared" si="161"/>
        <v>2953.6</v>
      </c>
      <c r="N104" s="27">
        <f t="shared" si="161"/>
        <v>2428.6999999999998</v>
      </c>
      <c r="O104" s="27">
        <f t="shared" si="161"/>
        <v>2410.1999999999998</v>
      </c>
      <c r="P104" s="27">
        <f t="shared" si="161"/>
        <v>2856.2400000000002</v>
      </c>
      <c r="Q104" s="27">
        <f t="shared" si="161"/>
        <v>2953.6</v>
      </c>
      <c r="R104" s="27">
        <f t="shared" si="161"/>
        <v>2828.8</v>
      </c>
      <c r="S104" s="27">
        <f t="shared" si="161"/>
        <v>2756.3</v>
      </c>
      <c r="T104" s="27">
        <f t="shared" si="161"/>
        <v>2640.1000000000004</v>
      </c>
      <c r="U104" s="27">
        <f t="shared" si="161"/>
        <v>3150.6</v>
      </c>
      <c r="X104" s="27">
        <f t="shared" ref="X104:AA104" si="162">SUM(X89:X103)</f>
        <v>2552.9</v>
      </c>
      <c r="Y104" s="27">
        <f t="shared" si="162"/>
        <v>3080.4</v>
      </c>
      <c r="Z104" s="27">
        <f t="shared" si="162"/>
        <v>3189.4000000000005</v>
      </c>
      <c r="AA104" s="27">
        <f t="shared" si="162"/>
        <v>2792.1</v>
      </c>
      <c r="AB104" s="27">
        <f t="shared" si="156"/>
        <v>3028.6000000000004</v>
      </c>
      <c r="AC104" s="27">
        <f t="shared" si="158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U105" s="27">
        <v>53.4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56"/>
        <v>0</v>
      </c>
      <c r="AC105" s="27">
        <f t="shared" si="158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U106" s="26">
        <v>2852.4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63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63"/>
        <v>17.399999999999999</v>
      </c>
      <c r="AC107" s="26">
        <f t="shared" si="158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U108" s="27">
        <v>61.1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63"/>
        <v>28.6</v>
      </c>
      <c r="AC108" s="27">
        <f t="shared" si="158"/>
        <v>18</v>
      </c>
      <c r="AD108" s="27">
        <f t="shared" ref="AD108:AD115" si="164">N108</f>
        <v>42.3</v>
      </c>
      <c r="AE108" s="27">
        <f t="shared" ref="AE108:AE115" si="165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U109" s="27">
        <v>570.9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63"/>
        <v>198.2</v>
      </c>
      <c r="AC109" s="27">
        <f t="shared" si="158"/>
        <v>257.8</v>
      </c>
      <c r="AD109" s="27">
        <f t="shared" si="164"/>
        <v>262.39999999999998</v>
      </c>
      <c r="AE109" s="27">
        <f t="shared" si="165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U110" s="27">
        <v>51.5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63"/>
        <v>0</v>
      </c>
      <c r="AC110" s="27">
        <f t="shared" si="158"/>
        <v>0</v>
      </c>
      <c r="AD110" s="27">
        <f t="shared" si="164"/>
        <v>8.6999999999999993</v>
      </c>
      <c r="AE110" s="27">
        <f t="shared" si="165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U111" s="27">
        <v>12.2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63"/>
        <v>58.2</v>
      </c>
      <c r="AC111" s="27">
        <f t="shared" si="158"/>
        <v>13.4</v>
      </c>
      <c r="AD111" s="27">
        <f t="shared" si="164"/>
        <v>11.8</v>
      </c>
      <c r="AE111" s="27">
        <f t="shared" si="165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U112" s="27">
        <v>309.10000000000002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63"/>
        <v>254</v>
      </c>
      <c r="AC112" s="27">
        <f t="shared" si="158"/>
        <v>301</v>
      </c>
      <c r="AD112" s="27">
        <f t="shared" si="164"/>
        <v>474.7</v>
      </c>
      <c r="AE112" s="27">
        <f t="shared" si="165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U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63"/>
        <v>101.1</v>
      </c>
      <c r="AC113" s="27">
        <f t="shared" si="158"/>
        <v>109.6</v>
      </c>
      <c r="AD113" s="27">
        <f t="shared" si="164"/>
        <v>82.6</v>
      </c>
      <c r="AE113" s="27">
        <f t="shared" si="165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U114" s="27">
        <v>25.6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63"/>
        <v>73.2</v>
      </c>
      <c r="AC114" s="27">
        <f t="shared" si="158"/>
        <v>63.7</v>
      </c>
      <c r="AD114" s="27">
        <f t="shared" si="164"/>
        <v>57.3</v>
      </c>
      <c r="AE114" s="27">
        <f t="shared" si="165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U115" s="27">
        <v>134.5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63"/>
        <v>125.5</v>
      </c>
      <c r="AC115" s="27">
        <f t="shared" si="158"/>
        <v>125.2</v>
      </c>
      <c r="AD115" s="27">
        <f t="shared" si="164"/>
        <v>114.2</v>
      </c>
      <c r="AE115" s="27">
        <f t="shared" si="165"/>
        <v>120.5</v>
      </c>
    </row>
    <row r="116" spans="2:31">
      <c r="B116" s="3" t="s">
        <v>118</v>
      </c>
      <c r="C116" s="27">
        <f t="shared" ref="C116:U116" si="166">SUM(C105:C115)+C104</f>
        <v>7811.2000000000007</v>
      </c>
      <c r="D116" s="27">
        <f t="shared" si="166"/>
        <v>7821</v>
      </c>
      <c r="E116" s="27">
        <f t="shared" si="166"/>
        <v>7824.7999999999993</v>
      </c>
      <c r="F116" s="27">
        <f t="shared" si="166"/>
        <v>7353.2</v>
      </c>
      <c r="G116" s="27">
        <f t="shared" si="166"/>
        <v>7293.7999999999993</v>
      </c>
      <c r="H116" s="27">
        <f t="shared" si="166"/>
        <v>7363.3</v>
      </c>
      <c r="I116" s="27">
        <f t="shared" si="166"/>
        <v>7260.1999999999989</v>
      </c>
      <c r="J116" s="27">
        <f t="shared" si="166"/>
        <v>6957.9</v>
      </c>
      <c r="K116" s="27">
        <f t="shared" si="166"/>
        <v>7571.6999999999989</v>
      </c>
      <c r="L116" s="27">
        <f t="shared" si="166"/>
        <v>7345.1</v>
      </c>
      <c r="M116" s="27">
        <f t="shared" si="166"/>
        <v>7574.5</v>
      </c>
      <c r="N116" s="27">
        <f t="shared" si="166"/>
        <v>7608.5</v>
      </c>
      <c r="O116" s="27">
        <f t="shared" si="166"/>
        <v>7513.7</v>
      </c>
      <c r="P116" s="27">
        <f t="shared" si="166"/>
        <v>7455.6400000000012</v>
      </c>
      <c r="Q116" s="27">
        <f t="shared" si="166"/>
        <v>7574.5</v>
      </c>
      <c r="R116" s="27">
        <f t="shared" si="166"/>
        <v>7379.9999999999991</v>
      </c>
      <c r="S116" s="27">
        <f t="shared" si="166"/>
        <v>7111.5000000000009</v>
      </c>
      <c r="T116" s="27">
        <f t="shared" si="166"/>
        <v>6826.0999999999995</v>
      </c>
      <c r="U116" s="27">
        <f t="shared" si="166"/>
        <v>7221.2999999999993</v>
      </c>
      <c r="X116" s="27">
        <f t="shared" ref="X116:AA116" si="167">SUM(X105:X115)+X104</f>
        <v>6546.2</v>
      </c>
      <c r="Y116" s="27">
        <f t="shared" si="167"/>
        <v>7825.7999999999993</v>
      </c>
      <c r="Z116" s="27">
        <f t="shared" si="167"/>
        <v>7731.9000000000005</v>
      </c>
      <c r="AA116" s="27">
        <f t="shared" si="167"/>
        <v>7763.7000000000007</v>
      </c>
      <c r="AB116" s="27">
        <f t="shared" ref="AB116:AC116" si="168">SUM(AB105:AB115)+AB104</f>
        <v>7353.2</v>
      </c>
      <c r="AC116" s="27">
        <f t="shared" si="168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U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U118" s="27">
        <v>2711.1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69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70">C118+C116</f>
        <v>11995.1</v>
      </c>
      <c r="D119" s="27">
        <f t="shared" si="170"/>
        <v>11811.1</v>
      </c>
      <c r="E119" s="27">
        <f t="shared" ref="E119:K119" si="171">E118+E116</f>
        <v>11794.5</v>
      </c>
      <c r="F119" s="27">
        <f t="shared" si="171"/>
        <v>11293.3</v>
      </c>
      <c r="G119" s="27">
        <f t="shared" ref="G119" si="172">G118+G116</f>
        <v>11185.5</v>
      </c>
      <c r="H119" s="27">
        <f t="shared" si="171"/>
        <v>11273.4</v>
      </c>
      <c r="I119" s="27">
        <f t="shared" si="171"/>
        <v>11062.5</v>
      </c>
      <c r="J119" s="27">
        <f t="shared" si="171"/>
        <v>10572.5</v>
      </c>
      <c r="K119" s="27">
        <f t="shared" si="171"/>
        <v>10856.099999999999</v>
      </c>
      <c r="L119" s="27">
        <f t="shared" ref="L119:U119" si="173">L118+L116</f>
        <v>10325.400000000001</v>
      </c>
      <c r="M119" s="27">
        <f t="shared" si="173"/>
        <v>10382.700000000001</v>
      </c>
      <c r="N119" s="27">
        <f t="shared" si="173"/>
        <v>10516</v>
      </c>
      <c r="O119" s="27">
        <f t="shared" si="173"/>
        <v>10308.1</v>
      </c>
      <c r="P119" s="27">
        <f t="shared" si="173"/>
        <v>10341.34</v>
      </c>
      <c r="Q119" s="27">
        <f t="shared" si="173"/>
        <v>10382.700000000001</v>
      </c>
      <c r="R119" s="27">
        <f t="shared" si="173"/>
        <v>10155</v>
      </c>
      <c r="S119" s="27">
        <f t="shared" si="173"/>
        <v>9868.4000000000015</v>
      </c>
      <c r="T119" s="27">
        <f t="shared" si="173"/>
        <v>9698.7999999999993</v>
      </c>
      <c r="U119" s="27">
        <f t="shared" si="173"/>
        <v>9932.4</v>
      </c>
      <c r="X119" s="27">
        <f t="shared" ref="X119:AA119" si="174">X118+X116</f>
        <v>10411</v>
      </c>
      <c r="Y119" s="27">
        <f t="shared" si="174"/>
        <v>11669.5</v>
      </c>
      <c r="Z119" s="27">
        <f t="shared" si="174"/>
        <v>11673.1</v>
      </c>
      <c r="AA119" s="27">
        <f t="shared" si="174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U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75">C87-C116</f>
        <v>4183.8999999999978</v>
      </c>
      <c r="D121" s="27">
        <f t="shared" si="175"/>
        <v>3990.0999999999985</v>
      </c>
      <c r="E121" s="27">
        <f t="shared" ref="E121" si="176">E87-E116</f>
        <v>3969.7000000000007</v>
      </c>
      <c r="F121" s="27">
        <f t="shared" ref="F121:G121" si="177">F87-F116</f>
        <v>3940.2</v>
      </c>
      <c r="G121" s="27">
        <f t="shared" si="177"/>
        <v>3891.8000000000011</v>
      </c>
      <c r="H121" s="27">
        <f t="shared" ref="H121:I121" si="178">H87-H116</f>
        <v>3910.0999999999995</v>
      </c>
      <c r="I121" s="27">
        <f t="shared" si="178"/>
        <v>3802.3000000000011</v>
      </c>
      <c r="J121" s="27">
        <f t="shared" ref="J121:K121" si="179">J87-J116</f>
        <v>3614.6000000000004</v>
      </c>
      <c r="K121" s="27">
        <f t="shared" si="179"/>
        <v>3284.3999999999996</v>
      </c>
      <c r="L121" s="27">
        <f t="shared" ref="L121:O121" si="180">L87-L116</f>
        <v>2980.3000000000011</v>
      </c>
      <c r="M121" s="27">
        <f t="shared" ref="M121" si="181">M87-M116</f>
        <v>2808.2000000000007</v>
      </c>
      <c r="N121" s="27">
        <f t="shared" si="180"/>
        <v>2907.5</v>
      </c>
      <c r="O121" s="27">
        <f t="shared" si="180"/>
        <v>2794.4000000000005</v>
      </c>
      <c r="P121" s="27">
        <f t="shared" ref="P121:Q121" si="182">P87-P116</f>
        <v>2885.659999999998</v>
      </c>
      <c r="Q121" s="27">
        <f t="shared" si="182"/>
        <v>2808.2000000000007</v>
      </c>
      <c r="R121" s="27">
        <f t="shared" ref="R121" si="183">R87-R116</f>
        <v>2775.0000000000009</v>
      </c>
      <c r="S121" s="27">
        <f>S87-S116</f>
        <v>2756.8999999999987</v>
      </c>
      <c r="T121" s="27">
        <f>T87-T116</f>
        <v>2872.7</v>
      </c>
      <c r="U121" s="27">
        <f t="shared" ref="U121" si="184">U87-U116</f>
        <v>2711.1000000000004</v>
      </c>
      <c r="X121" s="27">
        <f t="shared" ref="X121:Y121" si="185">X87-X116</f>
        <v>3864.8</v>
      </c>
      <c r="Y121" s="27">
        <f t="shared" si="185"/>
        <v>3843.7000000000007</v>
      </c>
      <c r="Z121" s="27">
        <f t="shared" ref="Z121:AB121" si="186">Z87-Z116</f>
        <v>3932.699999999998</v>
      </c>
      <c r="AA121" s="27">
        <f t="shared" si="186"/>
        <v>4172.5</v>
      </c>
      <c r="AB121" s="27">
        <f t="shared" si="186"/>
        <v>3940.2</v>
      </c>
      <c r="AC121" s="27">
        <f t="shared" ref="AC121:AD121" si="187">AC87-AC116</f>
        <v>3614.6000000000004</v>
      </c>
      <c r="AD121" s="27">
        <f t="shared" si="187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88">C121/C27</f>
        <v>5.705577526251191</v>
      </c>
      <c r="D122" s="3">
        <f t="shared" si="188"/>
        <v>5.4398091342876596</v>
      </c>
      <c r="E122" s="3">
        <f t="shared" ref="E122" si="189">E121/E27</f>
        <v>5.4097846824747897</v>
      </c>
      <c r="F122" s="3">
        <f t="shared" ref="F122:G122" si="190">F121/F27</f>
        <v>5.3673886391499792</v>
      </c>
      <c r="G122" s="3">
        <f t="shared" si="190"/>
        <v>5.2899279597662101</v>
      </c>
      <c r="H122" s="3">
        <f t="shared" ref="H122:I122" si="191">H121/H27</f>
        <v>5.3140799130198415</v>
      </c>
      <c r="I122" s="3">
        <f t="shared" si="191"/>
        <v>5.1675727099755386</v>
      </c>
      <c r="J122" s="3">
        <f t="shared" ref="J122:K122" si="192">J121/J27</f>
        <v>4.911808669656204</v>
      </c>
      <c r="K122" s="3">
        <f t="shared" si="192"/>
        <v>4.4618937644341798</v>
      </c>
      <c r="L122" s="3">
        <f t="shared" ref="L122:M122" si="193">L121/L27</f>
        <v>4.0482205922303738</v>
      </c>
      <c r="M122" s="3">
        <f t="shared" si="193"/>
        <v>3.8144525944036953</v>
      </c>
      <c r="N122" s="3">
        <f t="shared" ref="N122:Q122" si="194">N121/N27</f>
        <v>3.9493344199945666</v>
      </c>
      <c r="O122" s="3">
        <f t="shared" ref="O122" si="195">O121/O27</f>
        <v>3.8019047619047628</v>
      </c>
      <c r="P122" s="3">
        <f t="shared" si="194"/>
        <v>3.9271366358192683</v>
      </c>
      <c r="Q122" s="3">
        <f t="shared" si="194"/>
        <v>3.821720195971694</v>
      </c>
      <c r="R122" s="3">
        <f t="shared" ref="R122" si="196">R121/R27</f>
        <v>3.7770518579011854</v>
      </c>
      <c r="S122" s="3">
        <f>S121/S27</f>
        <v>3.7529267628641421</v>
      </c>
      <c r="T122" s="3">
        <f>T121/T27</f>
        <v>3.9105635720119789</v>
      </c>
      <c r="U122" s="3">
        <f t="shared" ref="U122" si="197">U121/U27</f>
        <v>3.6905799074326167</v>
      </c>
      <c r="X122" s="3">
        <f t="shared" ref="X122:Y122" si="198">X121/X27</f>
        <v>5.2675480441597387</v>
      </c>
      <c r="Y122" s="3">
        <f t="shared" si="198"/>
        <v>5.2639003012873191</v>
      </c>
      <c r="Z122" s="3">
        <f t="shared" ref="Z122:AB122" si="199">Z121/Z27</f>
        <v>5.3462479608482845</v>
      </c>
      <c r="AA122" s="3">
        <f t="shared" si="199"/>
        <v>5.6822824458668126</v>
      </c>
      <c r="AB122" s="3">
        <f t="shared" si="199"/>
        <v>5.3673886391499792</v>
      </c>
      <c r="AC122" s="3">
        <f t="shared" ref="AC122:AD122" si="200">AC121/AC27</f>
        <v>4.911808669656204</v>
      </c>
      <c r="AD122" s="3">
        <f t="shared" si="200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201">C61+C62+C74+C76</f>
        <v>3435.7999999999997</v>
      </c>
      <c r="D124" s="52">
        <f t="shared" si="201"/>
        <v>3346.5</v>
      </c>
      <c r="E124" s="52">
        <f t="shared" ref="E124" si="202">E61+E62+E74+E76</f>
        <v>3147.6</v>
      </c>
      <c r="F124" s="52">
        <f t="shared" ref="F124:G124" si="203">F61+F62+F74+F76</f>
        <v>3211.9</v>
      </c>
      <c r="G124" s="52">
        <f t="shared" si="203"/>
        <v>2485.4999999999995</v>
      </c>
      <c r="H124" s="52">
        <f t="shared" ref="H124:I124" si="204">H61+H62+H74+H76</f>
        <v>2480.8999999999996</v>
      </c>
      <c r="I124" s="52">
        <f t="shared" si="204"/>
        <v>2177.2000000000003</v>
      </c>
      <c r="J124" s="52">
        <f t="shared" ref="J124:K124" si="205">J61+J62+J74+J76</f>
        <v>2780.6</v>
      </c>
      <c r="K124" s="52">
        <f t="shared" si="205"/>
        <v>2501.1</v>
      </c>
      <c r="L124" s="52">
        <f t="shared" ref="L124:O124" si="206">L61+L62+L74+L76</f>
        <v>1998.9</v>
      </c>
      <c r="M124" s="52">
        <f t="shared" ref="M124" si="207">M61+M62+M74+M76</f>
        <v>2503.6999999999998</v>
      </c>
      <c r="N124" s="52">
        <f t="shared" si="206"/>
        <v>2753.6</v>
      </c>
      <c r="O124" s="52">
        <f t="shared" si="206"/>
        <v>2463.4</v>
      </c>
      <c r="P124" s="52">
        <f t="shared" ref="P124:Q124" si="208">P61+P62+P74+P76</f>
        <v>2514.3000000000002</v>
      </c>
      <c r="Q124" s="52">
        <f t="shared" si="208"/>
        <v>2503.6999999999998</v>
      </c>
      <c r="R124" s="52">
        <f t="shared" ref="R124" si="209">R61+R62+R74+R76</f>
        <v>2634.7</v>
      </c>
      <c r="S124" s="52">
        <f t="shared" ref="S124" si="210">S61+S62+S74+S76</f>
        <v>2104.1999999999998</v>
      </c>
      <c r="T124" s="52">
        <f>T61+T62+T74+T76</f>
        <v>1968.2</v>
      </c>
      <c r="U124" s="52">
        <f t="shared" ref="U124" si="211">U61+U62+U74+U76</f>
        <v>1863.1</v>
      </c>
      <c r="X124" s="52">
        <f t="shared" ref="X124:Y124" si="212">X61+X62+X74+X76</f>
        <v>2482.1</v>
      </c>
      <c r="Y124" s="52">
        <f t="shared" si="212"/>
        <v>3546.8999999999996</v>
      </c>
      <c r="Z124" s="52">
        <f t="shared" ref="Z124:AB124" si="213">Z61+Z62+Z74+Z76</f>
        <v>3196.2999999999997</v>
      </c>
      <c r="AA124" s="52">
        <f t="shared" si="213"/>
        <v>3892.5</v>
      </c>
      <c r="AB124" s="52">
        <f t="shared" si="213"/>
        <v>3211.9</v>
      </c>
      <c r="AC124" s="52">
        <f t="shared" ref="AC124:AD124" si="214">AC61+AC62+AC74+AC76</f>
        <v>2780.6</v>
      </c>
      <c r="AD124" s="52">
        <f t="shared" si="214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15">C92+C96+C106+C93+C107</f>
        <v>4559.1000000000004</v>
      </c>
      <c r="D125" s="52">
        <f t="shared" si="215"/>
        <v>4452.8</v>
      </c>
      <c r="E125" s="52">
        <f t="shared" ref="E125" si="216">E92+E96+E106+E93+E107</f>
        <v>4399.8</v>
      </c>
      <c r="F125" s="52">
        <f t="shared" ref="F125:G125" si="217">F92+F96+F106+F93+F107</f>
        <v>3997.2000000000003</v>
      </c>
      <c r="G125" s="52">
        <f t="shared" si="217"/>
        <v>3928.3</v>
      </c>
      <c r="H125" s="52">
        <f t="shared" ref="H125:I125" si="218">H92+H96+H106+H93+H107</f>
        <v>3879.5</v>
      </c>
      <c r="I125" s="52">
        <f t="shared" si="218"/>
        <v>3811.6</v>
      </c>
      <c r="J125" s="52">
        <f t="shared" ref="J125:K125" si="219">J92+J96+J106+J93+J107</f>
        <v>3414.4</v>
      </c>
      <c r="K125" s="52">
        <f t="shared" si="219"/>
        <v>3862.2</v>
      </c>
      <c r="L125" s="52">
        <f>L92+L96+L106+L93+L107</f>
        <v>3826.3999999999996</v>
      </c>
      <c r="M125" s="52">
        <f t="shared" ref="M125" si="220">M92+M96+M106+M93+M107</f>
        <v>4310.1000000000004</v>
      </c>
      <c r="N125" s="52">
        <f>N92+N96+N106+N93+N107</f>
        <v>4449.2</v>
      </c>
      <c r="O125" s="52">
        <f t="shared" ref="O125" si="221">O92+O96+O106+O93+O107</f>
        <v>4380</v>
      </c>
      <c r="P125" s="52">
        <f t="shared" ref="P125:T125" si="222">P92+P96+P106+P93+P107</f>
        <v>4334.0999999999995</v>
      </c>
      <c r="Q125" s="52">
        <f t="shared" si="222"/>
        <v>4310.1000000000004</v>
      </c>
      <c r="R125" s="52">
        <f t="shared" si="222"/>
        <v>4029.7999999999997</v>
      </c>
      <c r="S125" s="52">
        <f t="shared" si="222"/>
        <v>3559</v>
      </c>
      <c r="T125" s="52">
        <f t="shared" si="222"/>
        <v>3173.8999999999996</v>
      </c>
      <c r="U125" s="52">
        <f t="shared" ref="U125" si="223">U92+U96+U106+U93+U107</f>
        <v>3236.3</v>
      </c>
      <c r="X125" s="52">
        <f t="shared" ref="X125:Y125" si="224">X92+X96+X106+X93+X107</f>
        <v>2923.5</v>
      </c>
      <c r="Y125" s="52">
        <f t="shared" si="224"/>
        <v>3927.5999999999995</v>
      </c>
      <c r="Z125" s="52">
        <f t="shared" ref="Z125:AA125" si="225">Z92+Z96+Z106+Z93+Z107</f>
        <v>4142.2000000000007</v>
      </c>
      <c r="AA125" s="52">
        <f t="shared" si="225"/>
        <v>4571.4000000000005</v>
      </c>
      <c r="AB125" s="52">
        <f t="shared" ref="AB125:AC125" si="226">AB92+AB96+AB106+AB93+AB107</f>
        <v>3997.2000000000003</v>
      </c>
      <c r="AC125" s="52">
        <f t="shared" si="226"/>
        <v>3414.4</v>
      </c>
      <c r="AD125" s="52">
        <f t="shared" ref="AD125:AE125" si="227">AD92+AD96+AD106+AD93+AD107</f>
        <v>4449.2</v>
      </c>
      <c r="AE125" s="52">
        <f t="shared" si="227"/>
        <v>4029.7999999999997</v>
      </c>
    </row>
    <row r="126" spans="2:31">
      <c r="B126" s="3" t="s">
        <v>8</v>
      </c>
      <c r="C126" s="27">
        <f t="shared" ref="C126:D126" si="228">C124-C125</f>
        <v>-1123.3000000000006</v>
      </c>
      <c r="D126" s="27">
        <f t="shared" si="228"/>
        <v>-1106.3000000000002</v>
      </c>
      <c r="E126" s="27">
        <f t="shared" ref="E126" si="229">E124-E125</f>
        <v>-1252.2000000000003</v>
      </c>
      <c r="F126" s="27">
        <f t="shared" ref="F126:G126" si="230">F124-F125</f>
        <v>-785.30000000000018</v>
      </c>
      <c r="G126" s="27">
        <f t="shared" si="230"/>
        <v>-1442.8000000000006</v>
      </c>
      <c r="H126" s="27">
        <f t="shared" ref="H126:I126" si="231">H124-H125</f>
        <v>-1398.6000000000004</v>
      </c>
      <c r="I126" s="27">
        <f t="shared" si="231"/>
        <v>-1634.3999999999996</v>
      </c>
      <c r="J126" s="27">
        <f t="shared" ref="J126:K126" si="232">J124-J125</f>
        <v>-633.80000000000018</v>
      </c>
      <c r="K126" s="27">
        <f t="shared" si="232"/>
        <v>-1361.1</v>
      </c>
      <c r="L126" s="27">
        <f t="shared" ref="L126:M126" si="233">L124-L125</f>
        <v>-1827.4999999999995</v>
      </c>
      <c r="M126" s="27">
        <f t="shared" si="233"/>
        <v>-1806.4000000000005</v>
      </c>
      <c r="N126" s="27">
        <f t="shared" ref="N126:R126" si="234">N124-N125</f>
        <v>-1695.6</v>
      </c>
      <c r="O126" s="27">
        <f t="shared" ref="O126" si="235">O124-O125</f>
        <v>-1916.6</v>
      </c>
      <c r="P126" s="27">
        <f t="shared" si="234"/>
        <v>-1819.7999999999993</v>
      </c>
      <c r="Q126" s="27">
        <f t="shared" si="234"/>
        <v>-1806.4000000000005</v>
      </c>
      <c r="R126" s="27">
        <f t="shared" si="234"/>
        <v>-1395.1</v>
      </c>
      <c r="S126" s="27">
        <f>S124-S125</f>
        <v>-1454.8000000000002</v>
      </c>
      <c r="T126" s="27">
        <f>T124-T125</f>
        <v>-1205.6999999999996</v>
      </c>
      <c r="U126" s="27">
        <f t="shared" ref="U126" si="236">U124-U125</f>
        <v>-1373.2000000000003</v>
      </c>
      <c r="X126" s="27">
        <f t="shared" ref="X126:Y126" si="237">X124-X125</f>
        <v>-441.40000000000009</v>
      </c>
      <c r="Y126" s="27">
        <f t="shared" si="237"/>
        <v>-380.69999999999982</v>
      </c>
      <c r="Z126" s="27">
        <f t="shared" ref="Z126:AB126" si="238">Z124-Z125</f>
        <v>-945.900000000001</v>
      </c>
      <c r="AA126" s="27">
        <f t="shared" si="238"/>
        <v>-678.90000000000055</v>
      </c>
      <c r="AB126" s="27">
        <f t="shared" si="238"/>
        <v>-785.30000000000018</v>
      </c>
      <c r="AC126" s="27">
        <f t="shared" ref="AC126:AD126" si="239">AC124-AC125</f>
        <v>-633.80000000000018</v>
      </c>
      <c r="AD126" s="27">
        <f t="shared" si="239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40">G68/C68-1</f>
        <v>0.20714400903080143</v>
      </c>
      <c r="H128" s="34">
        <f t="shared" ref="H128" si="241">H68/D68-1</f>
        <v>0.18512820512820527</v>
      </c>
      <c r="I128" s="34">
        <f t="shared" ref="I128" si="242">I68/E68-1</f>
        <v>0.10459366489895361</v>
      </c>
      <c r="J128" s="34">
        <f t="shared" ref="J128:L128" si="243">J68/F68-1</f>
        <v>-4.9062624650977216E-2</v>
      </c>
      <c r="K128" s="34">
        <f t="shared" ref="K128" si="244">K68/G68-1</f>
        <v>-2.3011154899472142E-2</v>
      </c>
      <c r="L128" s="34">
        <f t="shared" si="243"/>
        <v>4.1440601804080712E-2</v>
      </c>
      <c r="M128" s="34">
        <f t="shared" ref="M128" si="245">M68/I68-1</f>
        <v>-0.25227884646576049</v>
      </c>
      <c r="N128" s="34">
        <f t="shared" ref="N128" si="246">N68/J68-1</f>
        <v>2.2609060402684511E-2</v>
      </c>
      <c r="O128" s="34">
        <f t="shared" ref="O128" si="247">O68/K68-1</f>
        <v>-0.15109561412504702</v>
      </c>
      <c r="P128" s="34">
        <f t="shared" ref="P128:S128" si="248">P68/L68-1</f>
        <v>-0.26009971874200977</v>
      </c>
      <c r="Q128" s="34">
        <f t="shared" si="248"/>
        <v>0</v>
      </c>
      <c r="R128" s="34">
        <f t="shared" si="248"/>
        <v>-0.18536445301283899</v>
      </c>
      <c r="S128" s="34">
        <f t="shared" si="248"/>
        <v>-0.10490073692264323</v>
      </c>
      <c r="T128" s="34">
        <f>T68/P68-1</f>
        <v>3.36501079913607E-2</v>
      </c>
      <c r="U128" s="34">
        <f t="shared" ref="U128" si="249">U68/Q68-1</f>
        <v>0.16208242950108454</v>
      </c>
      <c r="X128" s="14" t="s">
        <v>186</v>
      </c>
      <c r="Y128" s="34">
        <f t="shared" ref="Y128" si="250">Y68/X68-1</f>
        <v>-3.7708393963331033E-2</v>
      </c>
      <c r="Z128" s="34">
        <f t="shared" ref="Z128" si="251">Z68/Y68-1</f>
        <v>7.8544888965696114E-2</v>
      </c>
      <c r="AA128" s="34">
        <f t="shared" ref="AA128" si="252">AA68/Z68-1</f>
        <v>-0.13928056401217759</v>
      </c>
      <c r="AB128" s="34">
        <f t="shared" ref="AB128" si="253">AB68/AA68-1</f>
        <v>0.16675198957509196</v>
      </c>
      <c r="AC128" s="34">
        <f t="shared" ref="AC128" si="254">AC68/AB68-1</f>
        <v>-4.9062624650977216E-2</v>
      </c>
      <c r="AD128" s="34">
        <f t="shared" ref="AD128" si="255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56">D68/C68-1</f>
        <v>2.2012578616352085E-2</v>
      </c>
      <c r="E129" s="25">
        <f t="shared" ref="E129" si="257">E68/D68-1</f>
        <v>0.10090729783037489</v>
      </c>
      <c r="F129" s="25">
        <f t="shared" ref="F129" si="258">F68/E68-1</f>
        <v>-0.10169127132005162</v>
      </c>
      <c r="G129" s="25">
        <f t="shared" ref="G129" si="259">G68/F68-1</f>
        <v>0.19433585959313904</v>
      </c>
      <c r="H129" s="25">
        <f t="shared" ref="H129" si="260">H68/G68-1</f>
        <v>3.3731881637835137E-3</v>
      </c>
      <c r="I129" s="25">
        <f t="shared" ref="I129" si="261">I68/H68-1</f>
        <v>2.6095929168192145E-2</v>
      </c>
      <c r="J129" s="25">
        <f t="shared" ref="J129" si="262">J68/I68-1</f>
        <v>-0.22665196094332885</v>
      </c>
      <c r="K129" s="25">
        <f t="shared" ref="K129:P129" si="263">K68/J68-1</f>
        <v>0.22705536912751678</v>
      </c>
      <c r="L129" s="25">
        <f t="shared" si="263"/>
        <v>6.9565514648070259E-2</v>
      </c>
      <c r="M129" s="25">
        <f t="shared" si="263"/>
        <v>-0.26329583226796216</v>
      </c>
      <c r="N129" s="25">
        <f t="shared" si="263"/>
        <v>5.7657266811279806E-2</v>
      </c>
      <c r="O129" s="25">
        <f t="shared" si="263"/>
        <v>1.862258501169034E-2</v>
      </c>
      <c r="P129" s="25">
        <f t="shared" si="263"/>
        <v>-6.7772721781500511E-2</v>
      </c>
      <c r="Q129" s="25">
        <f>Q68/P68-1</f>
        <v>-4.3196544276458138E-3</v>
      </c>
      <c r="R129" s="25">
        <f t="shared" ref="R129:S129" si="264">R68/Q68-1</f>
        <v>-0.13839479392624732</v>
      </c>
      <c r="S129" s="25">
        <f t="shared" si="264"/>
        <v>0.11923464249748239</v>
      </c>
      <c r="T129" s="25">
        <f>T68/S68-1</f>
        <v>7.6525103473096934E-2</v>
      </c>
      <c r="U129" s="25">
        <f t="shared" ref="U129" si="265">U68/T68-1</f>
        <v>0.1193948765096744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66">G68/SUM(D9:G9)</f>
        <v>0.60651852452042865</v>
      </c>
      <c r="H131" s="25">
        <f t="shared" ref="H131" si="267">H68/SUM(E9:H9)</f>
        <v>0.59386427879578574</v>
      </c>
      <c r="I131" s="25">
        <f t="shared" ref="I131" si="268">I68/SUM(F9:I9)</f>
        <v>0.60740463430012614</v>
      </c>
      <c r="J131" s="25">
        <f t="shared" ref="J131" si="269">J68/SUM(G9:J9)</f>
        <v>0.43642221652692853</v>
      </c>
      <c r="K131" s="25">
        <f t="shared" ref="K131" si="270">K68/SUM(H9:K9)</f>
        <v>0.55475906013540421</v>
      </c>
      <c r="L131" s="25">
        <f t="shared" ref="L131" si="271">L68/SUM(I9:L9)</f>
        <v>0.70602039895297419</v>
      </c>
      <c r="M131" s="25">
        <f t="shared" ref="M131" si="272">M68/SUM(J9:M9)</f>
        <v>0.57414003537001523</v>
      </c>
      <c r="N131" s="25">
        <f t="shared" ref="N131" si="273">N68/SUM(K9:N9)</f>
        <v>0.64646919996817898</v>
      </c>
      <c r="O131" s="25">
        <f t="shared" ref="O131" si="274">O68/SUM(L9:O9)</f>
        <v>0.62954418698980885</v>
      </c>
      <c r="P131" s="25">
        <f t="shared" ref="P131:S131" si="275">P68/SUM(M9:P9)</f>
        <v>0.51014786575288118</v>
      </c>
      <c r="Q131" s="25">
        <f t="shared" si="275"/>
        <v>0.48656407658370798</v>
      </c>
      <c r="R131" s="25">
        <f t="shared" si="275"/>
        <v>0.47317259125131039</v>
      </c>
      <c r="S131" s="25">
        <f t="shared" si="275"/>
        <v>0.55698105642978857</v>
      </c>
      <c r="T131" s="25">
        <f>T68/SUM(Q9:T9)</f>
        <v>0.61685399051350787</v>
      </c>
      <c r="U131" s="25">
        <f t="shared" ref="U131" si="276">U68/SUM(R9:U9)</f>
        <v>0.69572218903405103</v>
      </c>
      <c r="X131" s="25">
        <f t="shared" ref="X131:AA131" si="277">X68/X9</f>
        <v>0.38247360386719248</v>
      </c>
      <c r="Y131" s="25">
        <f t="shared" si="277"/>
        <v>0.39044550530524108</v>
      </c>
      <c r="Z131" s="25">
        <f t="shared" si="277"/>
        <v>0.40151186168073988</v>
      </c>
      <c r="AA131" s="25">
        <f t="shared" si="277"/>
        <v>0.36797218844724533</v>
      </c>
      <c r="AB131" s="25">
        <f t="shared" ref="AB131:AD131" si="278">AB68/AB9</f>
        <v>0.49437005777839121</v>
      </c>
      <c r="AC131" s="25">
        <f t="shared" si="278"/>
        <v>0.43642221652692853</v>
      </c>
      <c r="AD131" s="25">
        <f t="shared" si="278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U133" s="3">
        <v>8.6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79">C133*C27</f>
        <v>19065.8</v>
      </c>
      <c r="D134" s="27">
        <f t="shared" si="279"/>
        <v>18264.149999999998</v>
      </c>
      <c r="E134" s="27">
        <f t="shared" si="279"/>
        <v>14375.142</v>
      </c>
      <c r="F134" s="27">
        <f t="shared" si="279"/>
        <v>16245.633</v>
      </c>
      <c r="G134" s="27">
        <f t="shared" si="279"/>
        <v>13985.657000000003</v>
      </c>
      <c r="H134" s="27">
        <f t="shared" ref="H134:I134" si="280">H133*H27</f>
        <v>14877.875999999998</v>
      </c>
      <c r="I134" s="27">
        <f t="shared" si="280"/>
        <v>12692.55</v>
      </c>
      <c r="J134" s="27">
        <f t="shared" ref="J134:K134" si="281">J133*J27</f>
        <v>14342.690999999999</v>
      </c>
      <c r="K134" s="27">
        <f t="shared" si="281"/>
        <v>5314.6419999999998</v>
      </c>
      <c r="L134" s="27">
        <f t="shared" ref="L134" si="282">L133*L27</f>
        <v>4402.4760000000006</v>
      </c>
      <c r="M134" s="27">
        <f t="shared" ref="M134:T134" si="283">M133*M27</f>
        <v>3246.6420000000003</v>
      </c>
      <c r="N134" s="27">
        <f t="shared" si="283"/>
        <v>5013.5219999999999</v>
      </c>
      <c r="O134" s="27">
        <f t="shared" si="283"/>
        <v>7320.6</v>
      </c>
      <c r="P134" s="27">
        <f t="shared" si="283"/>
        <v>11124.871999999999</v>
      </c>
      <c r="Q134" s="27">
        <f t="shared" si="283"/>
        <v>12491.599999999999</v>
      </c>
      <c r="R134" s="27">
        <f t="shared" si="283"/>
        <v>10212.330000000002</v>
      </c>
      <c r="S134" s="27">
        <f t="shared" si="283"/>
        <v>9263.3060000000005</v>
      </c>
      <c r="T134" s="27">
        <f t="shared" si="283"/>
        <v>6449.7879999999996</v>
      </c>
      <c r="U134" s="27">
        <f t="shared" ref="U134" si="284">U133*U27</f>
        <v>6317.5599999999995</v>
      </c>
      <c r="X134" s="27">
        <f t="shared" ref="X134:Y134" si="285">X133*X27</f>
        <v>27044.182000000001</v>
      </c>
      <c r="Y134" s="27">
        <f t="shared" si="285"/>
        <v>21570.108</v>
      </c>
      <c r="Z134" s="27">
        <f t="shared" ref="Z134:AB134" si="286">Z133*Z27</f>
        <v>14160.300000000001</v>
      </c>
      <c r="AA134" s="27">
        <f t="shared" si="286"/>
        <v>17571.798999999999</v>
      </c>
      <c r="AB134" s="27">
        <f t="shared" si="286"/>
        <v>16245.633</v>
      </c>
      <c r="AC134" s="27">
        <f t="shared" ref="AC134:AD134" si="287">AC133*AC27</f>
        <v>14342.690999999999</v>
      </c>
      <c r="AD134" s="27">
        <f t="shared" si="28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88">C134-C126</f>
        <v>20189.099999999999</v>
      </c>
      <c r="D135" s="27">
        <f t="shared" si="288"/>
        <v>19370.449999999997</v>
      </c>
      <c r="E135" s="27">
        <f t="shared" si="288"/>
        <v>15627.342000000001</v>
      </c>
      <c r="F135" s="27">
        <f t="shared" si="288"/>
        <v>17030.933000000001</v>
      </c>
      <c r="G135" s="27">
        <f t="shared" si="288"/>
        <v>15428.457000000004</v>
      </c>
      <c r="H135" s="27">
        <f t="shared" ref="H135:I135" si="289">H134-H126</f>
        <v>16276.475999999999</v>
      </c>
      <c r="I135" s="27">
        <f t="shared" si="289"/>
        <v>14326.949999999999</v>
      </c>
      <c r="J135" s="27">
        <f t="shared" ref="J135:K135" si="290">J134-J126</f>
        <v>14976.490999999998</v>
      </c>
      <c r="K135" s="27">
        <f t="shared" si="290"/>
        <v>6675.7420000000002</v>
      </c>
      <c r="L135" s="27">
        <f t="shared" ref="L135" si="291">L134-L126</f>
        <v>6229.9760000000006</v>
      </c>
      <c r="M135" s="27">
        <f t="shared" ref="M135:T135" si="292">M134-M126</f>
        <v>5053.0420000000013</v>
      </c>
      <c r="N135" s="27">
        <f t="shared" si="292"/>
        <v>6709.1219999999994</v>
      </c>
      <c r="O135" s="27">
        <f t="shared" si="292"/>
        <v>9237.2000000000007</v>
      </c>
      <c r="P135" s="27">
        <f t="shared" si="292"/>
        <v>12944.671999999999</v>
      </c>
      <c r="Q135" s="27">
        <f t="shared" si="292"/>
        <v>14298</v>
      </c>
      <c r="R135" s="27">
        <f t="shared" si="292"/>
        <v>11607.430000000002</v>
      </c>
      <c r="S135" s="27">
        <f t="shared" si="292"/>
        <v>10718.106</v>
      </c>
      <c r="T135" s="27">
        <f t="shared" si="292"/>
        <v>7655.4879999999994</v>
      </c>
      <c r="U135" s="27">
        <f t="shared" ref="U135" si="293">U134-U126</f>
        <v>7690.76</v>
      </c>
      <c r="X135" s="27">
        <f t="shared" ref="X135:Y135" si="294">X134-X126</f>
        <v>27485.582000000002</v>
      </c>
      <c r="Y135" s="27">
        <f t="shared" si="294"/>
        <v>21950.808000000001</v>
      </c>
      <c r="Z135" s="27">
        <f t="shared" ref="Z135:AB135" si="295">Z134-Z126</f>
        <v>15106.200000000003</v>
      </c>
      <c r="AA135" s="27">
        <f t="shared" si="295"/>
        <v>18250.699000000001</v>
      </c>
      <c r="AB135" s="27">
        <f t="shared" si="295"/>
        <v>17030.933000000001</v>
      </c>
      <c r="AC135" s="27">
        <f t="shared" ref="AC135:AD135" si="296">AC134-AC126</f>
        <v>14976.490999999998</v>
      </c>
      <c r="AD135" s="27">
        <f t="shared" si="296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97">C133/C122</f>
        <v>4.5569444776404806</v>
      </c>
      <c r="D137" s="57">
        <f t="shared" si="297"/>
        <v>4.5773664820430584</v>
      </c>
      <c r="E137" s="57">
        <f t="shared" si="297"/>
        <v>3.6212162128120506</v>
      </c>
      <c r="F137" s="57">
        <f t="shared" si="297"/>
        <v>4.1230478148317342</v>
      </c>
      <c r="G137" s="57">
        <f t="shared" si="297"/>
        <v>3.5936217174572174</v>
      </c>
      <c r="H137" s="57">
        <f t="shared" ref="H137:I137" si="298">H133/H122</f>
        <v>3.8049860617375519</v>
      </c>
      <c r="I137" s="57">
        <f t="shared" si="298"/>
        <v>3.3381242931909623</v>
      </c>
      <c r="J137" s="57">
        <f t="shared" ref="J137:K137" si="299">J133/J122</f>
        <v>3.9679884357881914</v>
      </c>
      <c r="K137" s="57">
        <f t="shared" si="299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300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U137" s="57">
        <f t="shared" ref="U137" si="301">U133/U122</f>
        <v>2.3302570912175868</v>
      </c>
      <c r="X137" s="57">
        <f t="shared" ref="X137:Y137" si="302">X133/X122</f>
        <v>6.9975631339267226</v>
      </c>
      <c r="Y137" s="57">
        <f t="shared" si="302"/>
        <v>5.6118084137679833</v>
      </c>
      <c r="Z137" s="57">
        <f t="shared" ref="Z137:AA137" si="303">Z133/Z122</f>
        <v>3.6006560378366026</v>
      </c>
      <c r="AA137" s="57">
        <f t="shared" si="303"/>
        <v>4.2113358897543431</v>
      </c>
      <c r="AB137" s="57">
        <f t="shared" ref="AB137:AC137" si="304">AB133/AB122</f>
        <v>4.1230478148317342</v>
      </c>
      <c r="AC137" s="57">
        <f t="shared" si="304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305">H133/SUM(E9:H9)</f>
        <v>3.9969163256834486E-3</v>
      </c>
      <c r="I138" s="74">
        <f t="shared" ref="I138" si="306">I133/SUM(F9:I9)</f>
        <v>3.3988808322824725E-3</v>
      </c>
      <c r="J138" s="74">
        <f t="shared" ref="J138" si="307">J133/SUM(G9:J9)</f>
        <v>3.5678980705158708E-3</v>
      </c>
      <c r="K138" s="74">
        <f t="shared" ref="K138" si="308">K133/SUM(H9:K9)</f>
        <v>1.3692135555934837E-3</v>
      </c>
      <c r="L138" s="74">
        <f t="shared" ref="L138" si="309">L133/SUM(I9:L9)</f>
        <v>1.3493997653217802E-3</v>
      </c>
      <c r="M138" s="74">
        <f t="shared" ref="M138" si="310">M133/SUM(J9:M9)</f>
        <v>1.0984631479313523E-3</v>
      </c>
      <c r="N138" s="74">
        <f t="shared" ref="N138" si="311">N133/SUM(K9:N9)</f>
        <v>1.8058391450770329E-3</v>
      </c>
      <c r="O138" s="74">
        <f t="shared" ref="O138" si="312">O133/SUM(L9:O9)</f>
        <v>2.5249708462201492E-3</v>
      </c>
      <c r="P138" s="74">
        <f t="shared" ref="P138:S138" si="313">P133/SUM(M9:P9)</f>
        <v>3.3363450053989726E-3</v>
      </c>
      <c r="Q138" s="74">
        <f t="shared" si="313"/>
        <v>3.5885419964958943E-3</v>
      </c>
      <c r="R138" s="74">
        <f t="shared" si="313"/>
        <v>3.3117316306108839E-3</v>
      </c>
      <c r="S138" s="74">
        <f t="shared" si="313"/>
        <v>3.1597674651698908E-3</v>
      </c>
      <c r="T138" s="74">
        <f>T133/SUM(Q9:T9)</f>
        <v>2.2633532687151986E-3</v>
      </c>
      <c r="U138" s="74">
        <f t="shared" ref="U138" si="314">U133/SUM(R9:U9)</f>
        <v>2.2337082153710292E-3</v>
      </c>
      <c r="X138" s="57">
        <f t="shared" ref="X138:Y138" si="315">X134/X9</f>
        <v>4.3003724080905741</v>
      </c>
      <c r="Y138" s="57">
        <f t="shared" si="315"/>
        <v>3.6386208059918017</v>
      </c>
      <c r="Z138" s="57">
        <f t="shared" ref="Z138:AB138" si="316">Z134/Z9</f>
        <v>2.2774909529553682</v>
      </c>
      <c r="AA138" s="57">
        <f t="shared" si="316"/>
        <v>3.0092303872039454</v>
      </c>
      <c r="AB138" s="57">
        <f t="shared" si="316"/>
        <v>3.2035718088777578</v>
      </c>
      <c r="AC138" s="57">
        <f t="shared" ref="AC138:AD138" si="317">AC134/AC9</f>
        <v>2.6256161900926296</v>
      </c>
      <c r="AD138" s="57">
        <f t="shared" si="317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318">H133/SUM(E26:H26)</f>
        <v>-328.9104111728746</v>
      </c>
      <c r="I139" s="57">
        <f t="shared" ref="I139" si="319">I133/SUM(F26:I26)</f>
        <v>-115.49206732790152</v>
      </c>
      <c r="J139" s="57">
        <f t="shared" ref="J139" si="320">J133/SUM(G26:J26)</f>
        <v>-44.49814940755099</v>
      </c>
      <c r="K139" s="57">
        <f t="shared" ref="K139" si="321">K133/SUM(H26:K26)</f>
        <v>-9.2931914725575346</v>
      </c>
      <c r="L139" s="57">
        <f t="shared" ref="L139" si="322">L133/SUM(I26:L26)</f>
        <v>-4.921897835209367</v>
      </c>
      <c r="M139" s="57">
        <f t="shared" ref="M139" si="323">M133/SUM(J26:M26)</f>
        <v>-3.4596705334508839</v>
      </c>
      <c r="N139" s="57">
        <f t="shared" ref="N139" si="324">N133/SUM(K26:N26)</f>
        <v>-6.8505742659676452</v>
      </c>
      <c r="O139" s="57">
        <f t="shared" ref="O139" si="325">O133/SUM(L26:O26)</f>
        <v>-13.844238952468716</v>
      </c>
      <c r="P139" s="57">
        <f t="shared" ref="P139:S139" si="326">P133/SUM(M26:P26)</f>
        <v>-88.265429889576552</v>
      </c>
      <c r="Q139" s="57">
        <f t="shared" si="326"/>
        <v>-249.48613055071797</v>
      </c>
      <c r="R139" s="57">
        <f t="shared" si="326"/>
        <v>-228.62115367889854</v>
      </c>
      <c r="S139" s="57">
        <f t="shared" si="326"/>
        <v>697.1161832155442</v>
      </c>
      <c r="T139" s="57">
        <f>T133/SUM(Q26:T26)</f>
        <v>-16621.554193892349</v>
      </c>
      <c r="U139" s="57">
        <f t="shared" ref="U139" si="327">U133/SUM(R26:U26)</f>
        <v>438.72815292259435</v>
      </c>
      <c r="X139" s="57">
        <f t="shared" ref="X139:Y139" si="328">X133/X26</f>
        <v>80.801260830594572</v>
      </c>
      <c r="Y139" s="57">
        <f t="shared" si="328"/>
        <v>311.70676300578032</v>
      </c>
      <c r="Z139" s="57">
        <f t="shared" ref="Z139:AA139" si="329">Z133/Z26</f>
        <v>85.25165562913908</v>
      </c>
      <c r="AA139" s="57">
        <f t="shared" si="329"/>
        <v>71.19853727714748</v>
      </c>
      <c r="AB139" s="57">
        <f t="shared" ref="AB139:AC139" si="330">AB133/AB26</f>
        <v>-91.165168350168358</v>
      </c>
      <c r="AC139" s="57">
        <f t="shared" si="330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31">D15:D15/D9</f>
        <v>8.0382013529645847E-3</v>
      </c>
      <c r="E141" s="25">
        <f t="shared" si="331"/>
        <v>7.5045285948417148E-3</v>
      </c>
      <c r="F141" s="25">
        <f t="shared" si="331"/>
        <v>1.0308671065032988E-2</v>
      </c>
      <c r="G141" s="25">
        <f t="shared" si="331"/>
        <v>1.1296003886797037E-2</v>
      </c>
      <c r="H141" s="25">
        <f t="shared" si="331"/>
        <v>8.5587872633640389E-3</v>
      </c>
      <c r="I141" s="25">
        <f t="shared" si="331"/>
        <v>9.8673018033344686E-3</v>
      </c>
      <c r="J141" s="25">
        <f t="shared" si="331"/>
        <v>8.057553956834532E-3</v>
      </c>
      <c r="K141" s="25">
        <f t="shared" si="331"/>
        <v>9.1511517828968131E-3</v>
      </c>
      <c r="L141" s="25">
        <f t="shared" si="331"/>
        <v>1.1913626209977662E-2</v>
      </c>
      <c r="M141" s="25">
        <f t="shared" si="331"/>
        <v>9.3581125609595358E-3</v>
      </c>
      <c r="N141" s="25">
        <f t="shared" si="331"/>
        <v>5.7021831215379598E-3</v>
      </c>
      <c r="O141" s="25">
        <f t="shared" si="331"/>
        <v>1.0405053883314754E-2</v>
      </c>
      <c r="P141" s="25">
        <f t="shared" si="331"/>
        <v>8.2264484741264941E-3</v>
      </c>
      <c r="Q141" s="25">
        <f t="shared" si="331"/>
        <v>1.0750443586264482E-2</v>
      </c>
      <c r="R141" s="25">
        <f t="shared" si="331"/>
        <v>1.1526934603857682E-2</v>
      </c>
      <c r="S141" s="25">
        <f t="shared" si="331"/>
        <v>2.8956565152271591E-2</v>
      </c>
      <c r="T141" s="25">
        <f>T15:T15/T9</f>
        <v>2.4438119540681126E-2</v>
      </c>
      <c r="U141" s="25">
        <f>U15:U15/U9</f>
        <v>3.1216361679224973E-2</v>
      </c>
      <c r="X141" s="25">
        <f t="shared" ref="X141:AB141" si="332">X15:X15/X9</f>
        <v>7.4895051520162828E-3</v>
      </c>
      <c r="Y141" s="25">
        <f t="shared" si="332"/>
        <v>7.0342942932811528E-3</v>
      </c>
      <c r="Z141" s="25">
        <f t="shared" si="332"/>
        <v>7.6558102131081629E-3</v>
      </c>
      <c r="AA141" s="25">
        <f t="shared" si="332"/>
        <v>8.4256674601407705E-3</v>
      </c>
      <c r="AB141" s="25">
        <f t="shared" si="332"/>
        <v>9.0907298219321253E-3</v>
      </c>
      <c r="AC141" s="25">
        <f t="shared" ref="AC141:AE141" si="333">AC15:AC15/AC9</f>
        <v>9.043312708234174E-3</v>
      </c>
      <c r="AD141" s="25">
        <f t="shared" si="333"/>
        <v>7.9022036010713056E-3</v>
      </c>
      <c r="AE141" s="25">
        <f t="shared" si="333"/>
        <v>1.0244925188220719E-2</v>
      </c>
    </row>
    <row r="142" spans="2:31">
      <c r="C142" s="1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X142" s="25"/>
      <c r="Y142" s="25"/>
      <c r="Z142" s="25"/>
      <c r="AA142" s="25"/>
      <c r="AB142" s="25"/>
      <c r="AC142" s="25"/>
      <c r="AD142" s="25"/>
      <c r="AE142" s="25"/>
    </row>
    <row r="143" spans="2:31" s="2" customFormat="1">
      <c r="B143" s="2" t="s">
        <v>255</v>
      </c>
      <c r="C143" s="14" t="s">
        <v>186</v>
      </c>
      <c r="D143" s="14" t="s">
        <v>186</v>
      </c>
      <c r="E143" s="14" t="s">
        <v>186</v>
      </c>
      <c r="F143" s="26">
        <f t="shared" ref="F143:S143" si="334">SUM(C23:F23)</f>
        <v>-166.40000000000032</v>
      </c>
      <c r="G143" s="26">
        <f t="shared" si="334"/>
        <v>-172.70000000000024</v>
      </c>
      <c r="H143" s="26">
        <f t="shared" si="334"/>
        <v>-38.800000000000068</v>
      </c>
      <c r="I143" s="26">
        <f t="shared" si="334"/>
        <v>-103.50000000000016</v>
      </c>
      <c r="J143" s="26">
        <f t="shared" si="334"/>
        <v>-316.50000000000011</v>
      </c>
      <c r="K143" s="26">
        <f t="shared" si="334"/>
        <v>-565.90000000000009</v>
      </c>
      <c r="L143" s="26">
        <f t="shared" si="334"/>
        <v>-887.70000000000027</v>
      </c>
      <c r="M143" s="26">
        <f t="shared" si="334"/>
        <v>-931.90000000000009</v>
      </c>
      <c r="N143" s="26">
        <f t="shared" si="334"/>
        <v>-728.19999999999993</v>
      </c>
      <c r="O143" s="26">
        <f t="shared" si="334"/>
        <v>-527.5999999999998</v>
      </c>
      <c r="P143" s="26">
        <f t="shared" si="334"/>
        <v>-125.79999999999983</v>
      </c>
      <c r="Q143" s="26">
        <f t="shared" si="334"/>
        <v>-51.999999999999829</v>
      </c>
      <c r="R143" s="26">
        <f t="shared" si="334"/>
        <v>-43.5</v>
      </c>
      <c r="S143" s="26">
        <f t="shared" si="334"/>
        <v>15.800000000000026</v>
      </c>
      <c r="T143" s="26">
        <f>SUM(Q23:T23)</f>
        <v>0.69999999999996021</v>
      </c>
      <c r="U143" s="26">
        <f t="shared" ref="U143" si="335">SUM(R23:U23)</f>
        <v>4.9999999999998934</v>
      </c>
      <c r="X143" s="26">
        <f t="shared" ref="X143:AD143" si="336">X23</f>
        <v>347.7</v>
      </c>
      <c r="Y143" s="26">
        <f t="shared" si="336"/>
        <v>80.800000000000153</v>
      </c>
      <c r="Z143" s="26">
        <f t="shared" si="336"/>
        <v>167.80000000000015</v>
      </c>
      <c r="AA143" s="26">
        <f t="shared" si="336"/>
        <v>262.80000000000047</v>
      </c>
      <c r="AB143" s="26">
        <f t="shared" si="336"/>
        <v>-171.20000000000002</v>
      </c>
      <c r="AC143" s="26">
        <f t="shared" si="336"/>
        <v>-316.5</v>
      </c>
      <c r="AD143" s="26">
        <f t="shared" si="336"/>
        <v>-728.30000000000007</v>
      </c>
      <c r="AE143" s="26">
        <f>AE23</f>
        <v>-43.500000000000142</v>
      </c>
    </row>
    <row r="144" spans="2:31">
      <c r="B144" s="3" t="s">
        <v>256</v>
      </c>
      <c r="C144" s="14" t="s">
        <v>186</v>
      </c>
      <c r="D144" s="14" t="s">
        <v>186</v>
      </c>
      <c r="E144" s="14" t="s">
        <v>186</v>
      </c>
      <c r="F144" s="25">
        <f t="shared" ref="F144:S144" si="337">SUM(C23:F23)/F118</f>
        <v>-4.223243064896838E-2</v>
      </c>
      <c r="G144" s="25">
        <f t="shared" si="337"/>
        <v>-4.4376493563224366E-2</v>
      </c>
      <c r="H144" s="25">
        <f t="shared" si="337"/>
        <v>-9.9230198716145548E-3</v>
      </c>
      <c r="I144" s="25">
        <f t="shared" si="337"/>
        <v>-2.72203666202036E-2</v>
      </c>
      <c r="J144" s="25">
        <f t="shared" si="337"/>
        <v>-8.7561555912134159E-2</v>
      </c>
      <c r="K144" s="25">
        <f t="shared" si="337"/>
        <v>-0.1722993545244185</v>
      </c>
      <c r="L144" s="25">
        <f t="shared" si="337"/>
        <v>-0.29785592054491167</v>
      </c>
      <c r="M144" s="25">
        <f t="shared" si="337"/>
        <v>-0.3318495833630084</v>
      </c>
      <c r="N144" s="25">
        <f t="shared" si="337"/>
        <v>-0.25045571797076521</v>
      </c>
      <c r="O144" s="25">
        <f t="shared" si="337"/>
        <v>-0.18880618379616368</v>
      </c>
      <c r="P144" s="25">
        <f t="shared" si="337"/>
        <v>-4.3594275219184193E-2</v>
      </c>
      <c r="Q144" s="25">
        <f t="shared" si="337"/>
        <v>-1.8517199629655947E-2</v>
      </c>
      <c r="R144" s="25">
        <f t="shared" si="337"/>
        <v>-1.5675675675675675E-2</v>
      </c>
      <c r="S144" s="25">
        <f t="shared" si="337"/>
        <v>5.7310747578802369E-3</v>
      </c>
      <c r="T144" s="25">
        <f>SUM(Q23:T23)/T118</f>
        <v>2.4367319942909468E-4</v>
      </c>
      <c r="U144" s="25">
        <f t="shared" ref="U144" si="338">SUM(R23:U23)/U118</f>
        <v>1.8442698535649344E-3</v>
      </c>
      <c r="X144" s="25">
        <f t="shared" ref="X144:AD144" si="339">X23/X118</f>
        <v>8.996584558062512E-2</v>
      </c>
      <c r="Y144" s="25">
        <f t="shared" si="339"/>
        <v>2.1021411660639529E-2</v>
      </c>
      <c r="Z144" s="25">
        <f t="shared" si="339"/>
        <v>4.2575865218715155E-2</v>
      </c>
      <c r="AA144" s="25">
        <f t="shared" si="339"/>
        <v>6.2840746054519475E-2</v>
      </c>
      <c r="AB144" s="25">
        <f t="shared" si="339"/>
        <v>-4.3450673840765466E-2</v>
      </c>
      <c r="AC144" s="25">
        <f t="shared" si="339"/>
        <v>-8.7561555912134131E-2</v>
      </c>
      <c r="AD144" s="25">
        <f t="shared" si="339"/>
        <v>-0.25049011177987962</v>
      </c>
      <c r="AE144" s="25">
        <f>AE23/AE118</f>
        <v>-1.5675675675675727E-2</v>
      </c>
    </row>
    <row r="145" spans="2:31">
      <c r="B145" s="3" t="s">
        <v>257</v>
      </c>
      <c r="C145" s="14" t="s">
        <v>186</v>
      </c>
      <c r="D145" s="14" t="s">
        <v>186</v>
      </c>
      <c r="E145" s="14" t="s">
        <v>186</v>
      </c>
      <c r="F145" s="25">
        <f t="shared" ref="F145:S145" si="340">F143/F87</f>
        <v>-1.473426957337917E-2</v>
      </c>
      <c r="G145" s="25">
        <f t="shared" si="340"/>
        <v>-1.5439493634673172E-2</v>
      </c>
      <c r="H145" s="25">
        <f t="shared" si="340"/>
        <v>-3.4417300903010688E-3</v>
      </c>
      <c r="I145" s="25">
        <f t="shared" si="340"/>
        <v>-9.355932203389844E-3</v>
      </c>
      <c r="J145" s="25">
        <f t="shared" si="340"/>
        <v>-2.9936155119413582E-2</v>
      </c>
      <c r="K145" s="25">
        <f t="shared" si="340"/>
        <v>-5.2127375392636413E-2</v>
      </c>
      <c r="L145" s="25">
        <f t="shared" si="340"/>
        <v>-8.5972456272880485E-2</v>
      </c>
      <c r="M145" s="25">
        <f t="shared" si="340"/>
        <v>-8.9755073343157368E-2</v>
      </c>
      <c r="N145" s="25">
        <f t="shared" si="340"/>
        <v>-6.9246861924686182E-2</v>
      </c>
      <c r="O145" s="25">
        <f t="shared" si="340"/>
        <v>-5.1183050222640428E-2</v>
      </c>
      <c r="P145" s="25">
        <f t="shared" si="340"/>
        <v>-1.2164814868536822E-2</v>
      </c>
      <c r="Q145" s="25">
        <f t="shared" si="340"/>
        <v>-5.0083311662669468E-3</v>
      </c>
      <c r="R145" s="25">
        <f t="shared" si="340"/>
        <v>-4.2836041358936486E-3</v>
      </c>
      <c r="S145" s="25">
        <f t="shared" si="340"/>
        <v>1.6010700822828448E-3</v>
      </c>
      <c r="T145" s="25">
        <f>T143/T87</f>
        <v>7.2173877180678044E-5</v>
      </c>
      <c r="U145" s="25">
        <f t="shared" ref="U145" si="341">U143/U87</f>
        <v>5.0340300430911896E-4</v>
      </c>
      <c r="X145" s="25">
        <f t="shared" ref="X145:AD145" si="342">X143/X87</f>
        <v>3.3397368168283544E-2</v>
      </c>
      <c r="Y145" s="25">
        <f t="shared" si="342"/>
        <v>6.9240327349072497E-3</v>
      </c>
      <c r="Z145" s="25">
        <f t="shared" si="342"/>
        <v>1.4385405414673471E-2</v>
      </c>
      <c r="AA145" s="25">
        <f t="shared" si="342"/>
        <v>2.2017057354937121E-2</v>
      </c>
      <c r="AB145" s="25">
        <f t="shared" si="342"/>
        <v>-1.5159296580303542E-2</v>
      </c>
      <c r="AC145" s="25">
        <f t="shared" si="342"/>
        <v>-2.9936155119413572E-2</v>
      </c>
      <c r="AD145" s="25">
        <f t="shared" si="342"/>
        <v>-6.9256371243818948E-2</v>
      </c>
      <c r="AE145" s="25">
        <f>AE143/AE87</f>
        <v>-4.2836041358936625E-3</v>
      </c>
    </row>
    <row r="146" spans="2:31">
      <c r="B146" s="3" t="s">
        <v>258</v>
      </c>
      <c r="C146" s="14" t="s">
        <v>186</v>
      </c>
      <c r="D146" s="14" t="s">
        <v>186</v>
      </c>
      <c r="E146" s="14" t="s">
        <v>186</v>
      </c>
      <c r="F146" s="25">
        <f t="shared" ref="F146:S146" si="343">F143/(F121-F85)</f>
        <v>-8.1512687371411943E-2</v>
      </c>
      <c r="G146" s="25">
        <f t="shared" si="343"/>
        <v>-8.8970171552212735E-2</v>
      </c>
      <c r="H146" s="25">
        <f t="shared" si="343"/>
        <v>-2.0297133291483617E-2</v>
      </c>
      <c r="I146" s="25">
        <f t="shared" si="343"/>
        <v>-5.8800136348142303E-2</v>
      </c>
      <c r="J146" s="25">
        <f t="shared" si="343"/>
        <v>-0.20250815791157464</v>
      </c>
      <c r="K146" s="25">
        <f t="shared" si="343"/>
        <v>-0.46602981141398353</v>
      </c>
      <c r="L146" s="25">
        <f t="shared" si="343"/>
        <v>-0.88074213711677685</v>
      </c>
      <c r="M146" s="25">
        <f t="shared" si="343"/>
        <v>-1.3460927343637141</v>
      </c>
      <c r="N146" s="25">
        <f t="shared" si="343"/>
        <v>-0.87534559442240634</v>
      </c>
      <c r="O146" s="25">
        <f t="shared" si="343"/>
        <v>-0.73779890924346181</v>
      </c>
      <c r="P146" s="25">
        <f t="shared" si="343"/>
        <v>-0.15965277425250027</v>
      </c>
      <c r="Q146" s="25">
        <f t="shared" si="343"/>
        <v>-7.5111945688285109E-2</v>
      </c>
      <c r="R146" s="25">
        <f t="shared" si="343"/>
        <v>-7.7457264957264849E-2</v>
      </c>
      <c r="S146" s="25">
        <f t="shared" si="343"/>
        <v>2.9845107669059432E-2</v>
      </c>
      <c r="T146" s="25">
        <f>T143/(T121-T85)</f>
        <v>1.0913626442157166E-3</v>
      </c>
      <c r="U146" s="25">
        <f t="shared" ref="U146" si="344">U143/(U121-U85)</f>
        <v>1.0636034886194192E-2</v>
      </c>
      <c r="X146" s="25">
        <f t="shared" ref="X146:AD146" si="345">X143/(X121-X85)</f>
        <v>0.1335304735204885</v>
      </c>
      <c r="Y146" s="25">
        <f t="shared" si="345"/>
        <v>3.3137841939055952E-2</v>
      </c>
      <c r="Z146" s="25">
        <f t="shared" si="345"/>
        <v>7.398262863189467E-2</v>
      </c>
      <c r="AA146" s="25">
        <f t="shared" si="345"/>
        <v>0.11475481420025348</v>
      </c>
      <c r="AB146" s="25">
        <f t="shared" si="345"/>
        <v>-8.3864014891740973E-2</v>
      </c>
      <c r="AC146" s="25">
        <f t="shared" si="345"/>
        <v>-0.20250815791157456</v>
      </c>
      <c r="AD146" s="25">
        <f t="shared" si="345"/>
        <v>-0.87546580117802619</v>
      </c>
      <c r="AE146" s="25">
        <f>AE143/(AE121-AE85)</f>
        <v>-7.7457264957265098E-2</v>
      </c>
    </row>
    <row r="147" spans="2:31">
      <c r="B147" s="3" t="s">
        <v>259</v>
      </c>
      <c r="C147" s="14" t="s">
        <v>186</v>
      </c>
      <c r="D147" s="14" t="s">
        <v>186</v>
      </c>
      <c r="E147" s="14" t="s">
        <v>186</v>
      </c>
      <c r="F147" s="25">
        <f t="shared" ref="F147:S147" si="346">F143/(F63+F67+F69+F68+F70+F70+F77+F78+F79+F80+F81+F82+F83+F84+F86)</f>
        <v>-2.7305546439120493E-2</v>
      </c>
      <c r="G147" s="25">
        <f t="shared" si="346"/>
        <v>-2.5833956619296966E-2</v>
      </c>
      <c r="H147" s="25">
        <f t="shared" si="346"/>
        <v>-5.7692593638945591E-3</v>
      </c>
      <c r="I147" s="25">
        <f t="shared" si="346"/>
        <v>-1.5152846099789202E-2</v>
      </c>
      <c r="J147" s="25">
        <f t="shared" si="346"/>
        <v>-5.7190871144359542E-2</v>
      </c>
      <c r="K147" s="25">
        <f t="shared" si="346"/>
        <v>-9.3356649124832977E-2</v>
      </c>
      <c r="L147" s="25">
        <f t="shared" si="346"/>
        <v>-0.14483129935391248</v>
      </c>
      <c r="M147" s="25">
        <f t="shared" si="346"/>
        <v>-0.16481262048352582</v>
      </c>
      <c r="N147" s="25">
        <f t="shared" si="346"/>
        <v>-0.13265808026524328</v>
      </c>
      <c r="O147" s="25">
        <f t="shared" si="346"/>
        <v>-9.4657145932756787E-2</v>
      </c>
      <c r="P147" s="25">
        <f t="shared" si="346"/>
        <v>-2.2775414139585379E-2</v>
      </c>
      <c r="Q147" s="25">
        <f t="shared" si="346"/>
        <v>-9.196540685849677E-3</v>
      </c>
      <c r="R147" s="25">
        <f t="shared" si="346"/>
        <v>-8.9263728145776901E-3</v>
      </c>
      <c r="S147" s="25">
        <f t="shared" si="346"/>
        <v>3.1154490781820023E-3</v>
      </c>
      <c r="T147" s="25">
        <f>T143/(T63+T67+T69+T68+T70+T70+T77+T78+T79+T80+T81+T82+T83+T84+T86)</f>
        <v>1.3257073595696376E-4</v>
      </c>
      <c r="U147" s="25">
        <f t="shared" ref="U147" si="347">U143/(U63+U67+U69+U68+U70+U70+U77+U78+U79+U80+U81+U82+U83+U84+U86)</f>
        <v>8.9210840901384435E-4</v>
      </c>
      <c r="X147" s="25">
        <f t="shared" ref="X147:AD147" si="348">X143/(X63+X67+X69+X68+X70+X70+X77+X78+X79+X80+X81+X82+X83+X84+X86)</f>
        <v>5.3721242834850053E-2</v>
      </c>
      <c r="Y147" s="25">
        <f t="shared" si="348"/>
        <v>1.2784001012594165E-2</v>
      </c>
      <c r="Z147" s="25">
        <f t="shared" si="348"/>
        <v>2.6713364642203318E-2</v>
      </c>
      <c r="AA147" s="25">
        <f t="shared" si="348"/>
        <v>4.6196846379665028E-2</v>
      </c>
      <c r="AB147" s="25">
        <f t="shared" si="348"/>
        <v>-2.8093206432556611E-2</v>
      </c>
      <c r="AC147" s="25">
        <f t="shared" si="348"/>
        <v>-5.7190871144359522E-2</v>
      </c>
      <c r="AD147" s="25">
        <f t="shared" si="348"/>
        <v>-0.13267629752427451</v>
      </c>
      <c r="AE147" s="25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  <hyperlink ref="U1" r:id="rId19" xr:uid="{E91FFA6B-0BF8-45A0-95F2-3BE46BD49EF2}"/>
  </hyperlinks>
  <pageMargins left="0.7" right="0.7" top="0.75" bottom="0.75" header="0.3" footer="0.3"/>
  <pageSetup paperSize="256" orientation="portrait" horizontalDpi="203" verticalDpi="203" r:id="rId20"/>
  <ignoredErrors>
    <ignoredError sqref="AE73 AD104:AE104 AC73:AD89 AC105:AD120 AC104 AC136:AD136 AD133 AC130:AD132 AB73 AC91:AD103 AD90 AB90:AB91 AB103 AC127:AD127 AD121:AD126" formula="1"/>
    <ignoredError sqref="Q138:S138 P138 Q131:S131 O138 M138:N139 L131:P131 G131:K131 H138:L138 T131:U131 T138:U138" formulaRange="1"/>
  </ignoredErrors>
  <drawing r:id="rId21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25" zoomScaleNormal="100" workbookViewId="0">
      <selection activeCell="AH34" sqref="AH34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defaultColWidth="9.140625" defaultRowHeight="12.75" customHeight="1"/>
  <cols>
    <col min="1" max="1" width="23.5703125" style="3" bestFit="1" customWidth="1"/>
    <col min="5" max="16384" width="9.140625" style="3"/>
  </cols>
  <sheetData>
    <row r="1" spans="1:35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24" t="s">
        <v>75</v>
      </c>
      <c r="U1" s="24"/>
      <c r="V1" s="24"/>
      <c r="X1" s="80">
        <v>2014</v>
      </c>
      <c r="Y1" s="80">
        <v>2015</v>
      </c>
      <c r="Z1" s="80">
        <v>2016</v>
      </c>
      <c r="AA1" s="80">
        <v>2017</v>
      </c>
      <c r="AB1" s="80">
        <v>2018</v>
      </c>
      <c r="AC1" s="80">
        <f>AB1+1</f>
        <v>2019</v>
      </c>
      <c r="AD1" s="80">
        <f t="shared" ref="AD1:AI1" si="0">AC1+1</f>
        <v>2020</v>
      </c>
      <c r="AE1" s="80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5" customFormat="1">
      <c r="A2" s="93"/>
      <c r="B2" s="94"/>
      <c r="C2" s="94"/>
      <c r="D2" s="94"/>
    </row>
    <row r="3" spans="1:35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:T3" si="14">SUM(S4:S10)</f>
        <v>2000</v>
      </c>
      <c r="T3" s="77">
        <f t="shared" si="14"/>
        <v>1995</v>
      </c>
      <c r="X3" s="77">
        <f t="shared" ref="X3:AB3" si="15">SUM(X4:X10)</f>
        <v>1549</v>
      </c>
      <c r="Y3" s="77">
        <f t="shared" si="15"/>
        <v>1704</v>
      </c>
      <c r="Z3" s="77">
        <f t="shared" si="15"/>
        <v>1749</v>
      </c>
      <c r="AA3" s="77">
        <f t="shared" si="15"/>
        <v>1835</v>
      </c>
      <c r="AB3" s="77">
        <f t="shared" si="15"/>
        <v>1858</v>
      </c>
      <c r="AC3" s="77">
        <f t="shared" ref="AC3" si="16">SUM(AC4:AC10)</f>
        <v>1917</v>
      </c>
      <c r="AD3" s="77">
        <f t="shared" ref="AD3" si="17">SUM(AD4:AD10)</f>
        <v>1904</v>
      </c>
      <c r="AE3" s="77">
        <f t="shared" ref="AE3" si="18">SUM(AE4:AE10)</f>
        <v>1996</v>
      </c>
    </row>
    <row r="4" spans="1:35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78">
        <v>191</v>
      </c>
      <c r="X4" s="78">
        <v>193</v>
      </c>
      <c r="Y4" s="78">
        <v>193</v>
      </c>
      <c r="Z4" s="78">
        <v>193</v>
      </c>
      <c r="AA4" s="78">
        <v>191</v>
      </c>
      <c r="AB4" s="78">
        <v>191</v>
      </c>
      <c r="AC4" s="78">
        <v>191</v>
      </c>
      <c r="AD4" s="78">
        <v>191</v>
      </c>
      <c r="AE4" s="78">
        <v>191</v>
      </c>
    </row>
    <row r="5" spans="1:35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78">
        <v>817</v>
      </c>
      <c r="X5" s="78">
        <v>421</v>
      </c>
      <c r="Y5" s="78">
        <v>500</v>
      </c>
      <c r="Z5" s="78">
        <v>525</v>
      </c>
      <c r="AA5" s="78">
        <v>603</v>
      </c>
      <c r="AB5" s="78">
        <v>771</v>
      </c>
      <c r="AC5" s="78">
        <v>815</v>
      </c>
      <c r="AD5" s="78">
        <v>798</v>
      </c>
      <c r="AE5" s="78">
        <v>840</v>
      </c>
    </row>
    <row r="6" spans="1:35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78">
        <v>568</v>
      </c>
      <c r="X6" s="78">
        <v>580</v>
      </c>
      <c r="Y6" s="78">
        <v>578</v>
      </c>
      <c r="Z6" s="78">
        <v>590</v>
      </c>
      <c r="AA6" s="78">
        <v>592</v>
      </c>
      <c r="AB6" s="78">
        <v>566</v>
      </c>
      <c r="AC6" s="78">
        <v>568</v>
      </c>
      <c r="AD6" s="78">
        <v>568</v>
      </c>
      <c r="AE6" s="78">
        <v>568</v>
      </c>
    </row>
    <row r="7" spans="1:35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78">
        <v>172</v>
      </c>
      <c r="X7" s="78">
        <v>145</v>
      </c>
      <c r="Y7" s="78">
        <v>166</v>
      </c>
      <c r="Z7" s="78">
        <v>166</v>
      </c>
      <c r="AA7" s="78">
        <v>169</v>
      </c>
      <c r="AB7" s="78">
        <v>172</v>
      </c>
      <c r="AC7" s="78">
        <v>172</v>
      </c>
      <c r="AD7" s="78">
        <v>172</v>
      </c>
      <c r="AE7" s="78">
        <v>172</v>
      </c>
    </row>
    <row r="8" spans="1:35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X8" s="78">
        <v>100</v>
      </c>
      <c r="Y8" s="78">
        <v>100</v>
      </c>
      <c r="Z8" s="78">
        <v>100</v>
      </c>
      <c r="AA8" s="78">
        <v>100</v>
      </c>
      <c r="AB8" s="78">
        <v>0</v>
      </c>
      <c r="AC8" s="78">
        <v>0</v>
      </c>
      <c r="AD8" s="78">
        <v>0</v>
      </c>
      <c r="AE8" s="78">
        <v>0</v>
      </c>
    </row>
    <row r="9" spans="1:35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78">
        <v>20</v>
      </c>
      <c r="X9" s="78">
        <v>60</v>
      </c>
      <c r="Y9" s="78">
        <v>77</v>
      </c>
      <c r="Z9" s="78">
        <v>85</v>
      </c>
      <c r="AA9" s="78">
        <v>74</v>
      </c>
      <c r="AB9" s="78">
        <v>47</v>
      </c>
      <c r="AC9" s="78">
        <v>27</v>
      </c>
      <c r="AD9" s="78">
        <v>22</v>
      </c>
      <c r="AE9" s="78">
        <v>22</v>
      </c>
    </row>
    <row r="10" spans="1:35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78">
        <v>227</v>
      </c>
      <c r="X10" s="78">
        <v>50</v>
      </c>
      <c r="Y10" s="78">
        <v>90</v>
      </c>
      <c r="Z10" s="78">
        <v>90</v>
      </c>
      <c r="AA10" s="78">
        <v>106</v>
      </c>
      <c r="AB10" s="78">
        <v>111</v>
      </c>
      <c r="AC10" s="78">
        <v>144</v>
      </c>
      <c r="AD10" s="78">
        <v>153</v>
      </c>
      <c r="AE10" s="78">
        <v>203</v>
      </c>
    </row>
    <row r="11" spans="1:35" s="78" customFormat="1"/>
    <row r="12" spans="1:35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77">
        <f>SUM(T13:T19)</f>
        <v>1698</v>
      </c>
      <c r="X12" s="77">
        <f t="shared" ref="X12:AE12" si="20">SUM(X13:X19)</f>
        <v>1090</v>
      </c>
      <c r="Y12" s="77">
        <f t="shared" si="20"/>
        <v>1181</v>
      </c>
      <c r="Z12" s="77">
        <f t="shared" si="20"/>
        <v>1299</v>
      </c>
      <c r="AA12" s="77">
        <f t="shared" si="20"/>
        <v>1400</v>
      </c>
      <c r="AB12" s="77">
        <f t="shared" si="20"/>
        <v>1490</v>
      </c>
      <c r="AC12" s="77">
        <f t="shared" si="20"/>
        <v>1579</v>
      </c>
      <c r="AD12" s="77">
        <f t="shared" si="20"/>
        <v>1623</v>
      </c>
      <c r="AE12" s="77">
        <f t="shared" si="20"/>
        <v>1671</v>
      </c>
    </row>
    <row r="13" spans="1:35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78">
        <v>191</v>
      </c>
      <c r="X13" s="78">
        <v>188</v>
      </c>
      <c r="Y13" s="78">
        <v>190</v>
      </c>
      <c r="Z13" s="78">
        <v>190</v>
      </c>
      <c r="AA13" s="78">
        <v>190</v>
      </c>
      <c r="AB13" s="78">
        <v>191</v>
      </c>
      <c r="AC13" s="78">
        <v>191</v>
      </c>
      <c r="AD13" s="78">
        <v>191</v>
      </c>
      <c r="AE13" s="78">
        <v>191</v>
      </c>
    </row>
    <row r="14" spans="1:35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78">
        <v>714</v>
      </c>
      <c r="X14" s="78">
        <v>249</v>
      </c>
      <c r="Y14" s="78">
        <v>331</v>
      </c>
      <c r="Z14" s="78">
        <v>421</v>
      </c>
      <c r="AA14" s="78">
        <v>500</v>
      </c>
      <c r="AB14" s="78">
        <v>567</v>
      </c>
      <c r="AC14" s="78">
        <v>634</v>
      </c>
      <c r="AD14" s="78">
        <v>666</v>
      </c>
      <c r="AE14" s="78">
        <v>693</v>
      </c>
    </row>
    <row r="15" spans="1:35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78">
        <v>565</v>
      </c>
      <c r="X15" s="78">
        <v>515</v>
      </c>
      <c r="Y15" s="78">
        <v>523</v>
      </c>
      <c r="Z15" s="78">
        <v>534</v>
      </c>
      <c r="AA15" s="78">
        <v>546</v>
      </c>
      <c r="AB15" s="78">
        <v>559</v>
      </c>
      <c r="AC15" s="78">
        <v>564</v>
      </c>
      <c r="AD15" s="78">
        <v>565</v>
      </c>
      <c r="AE15" s="78">
        <v>565</v>
      </c>
    </row>
    <row r="16" spans="1:35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78">
        <v>172</v>
      </c>
      <c r="X16" s="78">
        <v>138</v>
      </c>
      <c r="Y16" s="78">
        <v>137</v>
      </c>
      <c r="Z16" s="78">
        <v>154</v>
      </c>
      <c r="AA16" s="78">
        <v>164</v>
      </c>
      <c r="AB16" s="78">
        <v>169</v>
      </c>
      <c r="AC16" s="78">
        <v>172</v>
      </c>
      <c r="AD16" s="78">
        <v>172</v>
      </c>
      <c r="AE16" s="78">
        <v>172</v>
      </c>
    </row>
    <row r="17" spans="1:31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</row>
    <row r="18" spans="1:31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78">
        <v>17</v>
      </c>
      <c r="X18" s="78">
        <v>0</v>
      </c>
      <c r="Y18" s="78">
        <v>0</v>
      </c>
      <c r="Z18" s="78">
        <v>0</v>
      </c>
      <c r="AA18" s="78">
        <v>0</v>
      </c>
      <c r="AB18" s="78">
        <v>4</v>
      </c>
      <c r="AC18" s="78">
        <v>11</v>
      </c>
      <c r="AD18" s="78">
        <v>15</v>
      </c>
      <c r="AE18" s="78">
        <v>17</v>
      </c>
    </row>
    <row r="19" spans="1:31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78">
        <v>39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>
        <v>7</v>
      </c>
      <c r="AD19" s="78">
        <v>14</v>
      </c>
      <c r="AE19" s="78">
        <v>33</v>
      </c>
    </row>
    <row r="20" spans="1:31" s="78" customFormat="1">
      <c r="A20" s="79"/>
    </row>
    <row r="21" spans="1:31" s="77" customFormat="1">
      <c r="A21" s="77" t="s">
        <v>211</v>
      </c>
      <c r="B21" s="77">
        <f t="shared" ref="B21:T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77">
        <f t="shared" si="21"/>
        <v>297</v>
      </c>
      <c r="X21" s="77">
        <f t="shared" ref="X21:AE21" si="22">SUM(X22:X28)</f>
        <v>459</v>
      </c>
      <c r="Y21" s="77">
        <f t="shared" si="22"/>
        <v>513</v>
      </c>
      <c r="Z21" s="77">
        <f t="shared" si="22"/>
        <v>450</v>
      </c>
      <c r="AA21" s="77">
        <f t="shared" si="22"/>
        <v>435</v>
      </c>
      <c r="AB21" s="77">
        <f t="shared" si="22"/>
        <v>368</v>
      </c>
      <c r="AC21" s="77">
        <f t="shared" si="22"/>
        <v>338</v>
      </c>
      <c r="AD21" s="77">
        <f t="shared" si="22"/>
        <v>281</v>
      </c>
      <c r="AE21" s="77">
        <f t="shared" si="22"/>
        <v>325</v>
      </c>
    </row>
    <row r="22" spans="1:31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X22" s="78">
        <v>5</v>
      </c>
      <c r="Y22" s="78">
        <v>3</v>
      </c>
      <c r="Z22" s="78">
        <v>3</v>
      </c>
      <c r="AA22" s="78">
        <v>1</v>
      </c>
      <c r="AB22" s="78">
        <v>0</v>
      </c>
      <c r="AC22" s="78">
        <v>0</v>
      </c>
      <c r="AD22" s="78">
        <v>0</v>
      </c>
      <c r="AE22" s="78">
        <v>0</v>
      </c>
    </row>
    <row r="23" spans="1:31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78">
        <v>103</v>
      </c>
      <c r="X23" s="78">
        <v>172</v>
      </c>
      <c r="Y23" s="78">
        <v>169</v>
      </c>
      <c r="Z23" s="78">
        <v>104</v>
      </c>
      <c r="AA23" s="78">
        <v>103</v>
      </c>
      <c r="AB23" s="78">
        <v>204</v>
      </c>
      <c r="AC23" s="78">
        <v>181</v>
      </c>
      <c r="AD23" s="78">
        <v>132</v>
      </c>
      <c r="AE23" s="78">
        <v>147</v>
      </c>
    </row>
    <row r="24" spans="1:31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78">
        <v>3</v>
      </c>
      <c r="X24" s="78">
        <v>65</v>
      </c>
      <c r="Y24" s="78">
        <v>55</v>
      </c>
      <c r="Z24" s="78">
        <v>56</v>
      </c>
      <c r="AA24" s="78">
        <v>46</v>
      </c>
      <c r="AB24" s="78">
        <v>7</v>
      </c>
      <c r="AC24" s="78">
        <v>4</v>
      </c>
      <c r="AD24" s="78">
        <v>3</v>
      </c>
      <c r="AE24" s="78">
        <v>3</v>
      </c>
    </row>
    <row r="25" spans="1:31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X25" s="78">
        <v>7</v>
      </c>
      <c r="Y25" s="78">
        <v>19</v>
      </c>
      <c r="Z25" s="78">
        <v>12</v>
      </c>
      <c r="AA25" s="78">
        <v>5</v>
      </c>
      <c r="AB25" s="78">
        <v>3</v>
      </c>
      <c r="AC25" s="78">
        <v>0</v>
      </c>
      <c r="AD25" s="78">
        <v>0</v>
      </c>
      <c r="AE25" s="78">
        <v>0</v>
      </c>
    </row>
    <row r="26" spans="1:31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X26" s="78">
        <v>100</v>
      </c>
      <c r="Y26" s="78">
        <v>100</v>
      </c>
      <c r="Z26" s="78">
        <v>100</v>
      </c>
      <c r="AA26" s="78">
        <v>100</v>
      </c>
      <c r="AB26" s="78">
        <v>0</v>
      </c>
      <c r="AC26" s="78">
        <v>0</v>
      </c>
      <c r="AD26" s="78">
        <v>0</v>
      </c>
      <c r="AE26" s="78">
        <v>0</v>
      </c>
    </row>
    <row r="27" spans="1:31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78">
        <v>3</v>
      </c>
      <c r="X27" s="78">
        <v>60</v>
      </c>
      <c r="Y27" s="78">
        <v>77</v>
      </c>
      <c r="Z27" s="78">
        <v>85</v>
      </c>
      <c r="AA27" s="78">
        <v>74</v>
      </c>
      <c r="AB27" s="78">
        <v>43</v>
      </c>
      <c r="AC27" s="78">
        <v>16</v>
      </c>
      <c r="AD27" s="78">
        <v>7</v>
      </c>
      <c r="AE27" s="78">
        <v>5</v>
      </c>
    </row>
    <row r="28" spans="1:31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78">
        <v>188</v>
      </c>
      <c r="X28" s="78">
        <v>50</v>
      </c>
      <c r="Y28" s="78">
        <v>90</v>
      </c>
      <c r="Z28" s="78">
        <v>90</v>
      </c>
      <c r="AA28" s="78">
        <v>106</v>
      </c>
      <c r="AB28" s="78">
        <v>111</v>
      </c>
      <c r="AC28" s="78">
        <v>137</v>
      </c>
      <c r="AD28" s="78">
        <v>139</v>
      </c>
      <c r="AE28" s="78">
        <v>170</v>
      </c>
    </row>
    <row r="31" spans="1:31" s="2" customFormat="1" ht="12.75" customHeight="1">
      <c r="A31" s="2" t="s">
        <v>213</v>
      </c>
      <c r="B31" s="96" t="s">
        <v>186</v>
      </c>
      <c r="C31" s="96" t="s">
        <v>186</v>
      </c>
      <c r="D31" s="96" t="s">
        <v>186</v>
      </c>
      <c r="E31" s="96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34">
        <f>T3/P3-1</f>
        <v>1.3719512195121908E-2</v>
      </c>
      <c r="X31" s="63" t="s">
        <v>186</v>
      </c>
      <c r="Y31" s="34">
        <f t="shared" ref="Y31" si="30">Y3/X3-1</f>
        <v>0.1000645577792123</v>
      </c>
      <c r="Z31" s="34">
        <f t="shared" ref="Z31" si="31">Z3/Y3-1</f>
        <v>2.6408450704225261E-2</v>
      </c>
      <c r="AA31" s="34">
        <f t="shared" ref="AA31:AB31" si="32">AA3/Z3-1</f>
        <v>4.9170954831332159E-2</v>
      </c>
      <c r="AB31" s="34">
        <f t="shared" si="32"/>
        <v>1.2534059945504161E-2</v>
      </c>
      <c r="AC31" s="34">
        <f>AC3/AB3-1</f>
        <v>3.1754574811625469E-2</v>
      </c>
      <c r="AD31" s="34">
        <f>AD3/AC3-1</f>
        <v>-6.7814293166406081E-3</v>
      </c>
      <c r="AE31" s="34">
        <f>AE3/AD3-1</f>
        <v>4.8319327731092487E-2</v>
      </c>
    </row>
    <row r="32" spans="1:31" s="81" customFormat="1" ht="12.75" customHeight="1">
      <c r="A32" s="85" t="s">
        <v>213</v>
      </c>
      <c r="B32" s="96" t="s">
        <v>186</v>
      </c>
      <c r="C32" s="97" t="s">
        <v>186</v>
      </c>
      <c r="D32" s="97" t="s">
        <v>186</v>
      </c>
      <c r="E32" s="97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81">
        <f>T3-P3</f>
        <v>27</v>
      </c>
      <c r="X32" s="63" t="s">
        <v>186</v>
      </c>
      <c r="Y32" s="81">
        <f t="shared" ref="Y32" si="40">Y3-X3</f>
        <v>155</v>
      </c>
      <c r="Z32" s="81">
        <f t="shared" ref="Z32" si="41">Z3-Y3</f>
        <v>45</v>
      </c>
      <c r="AA32" s="81">
        <f t="shared" ref="AA32:AB32" si="42">AA3-Z3</f>
        <v>86</v>
      </c>
      <c r="AB32" s="81">
        <f t="shared" si="42"/>
        <v>23</v>
      </c>
      <c r="AC32" s="81">
        <f>AC3-AB3</f>
        <v>59</v>
      </c>
      <c r="AD32" s="81">
        <f>AD3-AC3</f>
        <v>-13</v>
      </c>
      <c r="AE32" s="81">
        <f>AE3-AD3</f>
        <v>92</v>
      </c>
    </row>
    <row r="33" spans="1:31" ht="12.75" customHeight="1">
      <c r="A33" s="3" t="s">
        <v>214</v>
      </c>
      <c r="B33" s="96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T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T33" s="25">
        <f t="shared" si="56"/>
        <v>-2.4999999999999467E-3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  <c r="AE33" s="63" t="s">
        <v>186</v>
      </c>
    </row>
    <row r="34" spans="1:31" s="82" customFormat="1" ht="12.75" customHeight="1">
      <c r="A34" s="86" t="s">
        <v>214</v>
      </c>
      <c r="B34" s="96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T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81">
        <f t="shared" si="70"/>
        <v>-5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  <c r="AE34" s="63" t="s">
        <v>186</v>
      </c>
    </row>
    <row r="35" spans="1:31" ht="12.75" customHeight="1">
      <c r="AE35" s="25"/>
    </row>
    <row r="36" spans="1:31" s="2" customFormat="1" ht="12.75" customHeight="1">
      <c r="A36" s="2" t="s">
        <v>202</v>
      </c>
      <c r="B36" s="96" t="s">
        <v>186</v>
      </c>
      <c r="C36" s="96" t="s">
        <v>186</v>
      </c>
      <c r="D36" s="96" t="s">
        <v>186</v>
      </c>
      <c r="E36" s="96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34">
        <f>T12/P12-1</f>
        <v>2.5981873111782461E-2</v>
      </c>
      <c r="X36" s="63" t="s">
        <v>186</v>
      </c>
      <c r="Y36" s="34">
        <f t="shared" ref="Y36" si="78">Y12/X12-1</f>
        <v>8.3486238532110013E-2</v>
      </c>
      <c r="Z36" s="34">
        <f t="shared" ref="Z36" si="79">Z12/Y12-1</f>
        <v>9.9915325994919479E-2</v>
      </c>
      <c r="AA36" s="34">
        <f t="shared" ref="AA36:AB36" si="80">AA12/Z12-1</f>
        <v>7.7752117013087041E-2</v>
      </c>
      <c r="AB36" s="34">
        <f t="shared" si="80"/>
        <v>6.4285714285714279E-2</v>
      </c>
      <c r="AC36" s="34">
        <f>AC12/AB12-1</f>
        <v>5.9731543624160999E-2</v>
      </c>
      <c r="AD36" s="34">
        <f>AD12/AC12-1</f>
        <v>2.7865737808739688E-2</v>
      </c>
      <c r="AE36" s="34">
        <f>AE12/AD12-1</f>
        <v>2.9574861367837268E-2</v>
      </c>
    </row>
    <row r="37" spans="1:31" s="81" customFormat="1" ht="12.75" customHeight="1">
      <c r="A37" s="85" t="s">
        <v>202</v>
      </c>
      <c r="B37" s="96" t="s">
        <v>186</v>
      </c>
      <c r="C37" s="97" t="s">
        <v>186</v>
      </c>
      <c r="D37" s="97" t="s">
        <v>186</v>
      </c>
      <c r="E37" s="97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81">
        <f>T12-P12</f>
        <v>43</v>
      </c>
      <c r="X37" s="63" t="s">
        <v>186</v>
      </c>
      <c r="Y37" s="81">
        <f t="shared" ref="Y37" si="88">Y12-X12</f>
        <v>91</v>
      </c>
      <c r="Z37" s="81">
        <f t="shared" ref="Z37" si="89">Z12-Y12</f>
        <v>118</v>
      </c>
      <c r="AA37" s="81">
        <f t="shared" ref="AA37:AB37" si="90">AA12-Z12</f>
        <v>101</v>
      </c>
      <c r="AB37" s="81">
        <f t="shared" si="90"/>
        <v>90</v>
      </c>
      <c r="AC37" s="81">
        <f>AC12-AB12</f>
        <v>89</v>
      </c>
      <c r="AD37" s="81">
        <f>AD12-AC12</f>
        <v>44</v>
      </c>
      <c r="AE37" s="81">
        <f>AE12-AD12</f>
        <v>48</v>
      </c>
    </row>
    <row r="38" spans="1:31" ht="12.75" customHeight="1">
      <c r="A38" s="3" t="s">
        <v>203</v>
      </c>
      <c r="B38" s="96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T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T38" s="25">
        <f t="shared" si="104"/>
        <v>5.924170616113722E-3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  <c r="AE38" s="63" t="s">
        <v>186</v>
      </c>
    </row>
    <row r="39" spans="1:31" s="83" customFormat="1" ht="12.75" customHeight="1">
      <c r="A39" s="87" t="s">
        <v>203</v>
      </c>
      <c r="B39" s="96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T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81">
        <f t="shared" si="118"/>
        <v>10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  <c r="AE39" s="63" t="s">
        <v>186</v>
      </c>
    </row>
    <row r="40" spans="1:31" ht="12.75" customHeight="1">
      <c r="AE40" s="25"/>
    </row>
    <row r="41" spans="1:31" s="2" customFormat="1" ht="12.75" customHeight="1">
      <c r="A41" s="2" t="s">
        <v>215</v>
      </c>
      <c r="B41" s="96" t="s">
        <v>186</v>
      </c>
      <c r="C41" s="96" t="s">
        <v>186</v>
      </c>
      <c r="D41" s="96" t="s">
        <v>186</v>
      </c>
      <c r="E41" s="96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:T41" si="131">S21/O21-1</f>
        <v>1.9607843137254832E-2</v>
      </c>
      <c r="T41" s="34">
        <f t="shared" si="131"/>
        <v>-5.1118210862619806E-2</v>
      </c>
      <c r="X41" s="63" t="s">
        <v>186</v>
      </c>
      <c r="Y41" s="34">
        <f t="shared" ref="Y41" si="132">Y21/X21-1</f>
        <v>0.11764705882352944</v>
      </c>
      <c r="Z41" s="34">
        <f t="shared" ref="Z41" si="133">Z21/Y21-1</f>
        <v>-0.1228070175438597</v>
      </c>
      <c r="AA41" s="34">
        <f t="shared" ref="AA41" si="134">AA21/Z21-1</f>
        <v>-3.3333333333333326E-2</v>
      </c>
      <c r="AB41" s="34">
        <f t="shared" ref="AB41" si="135">AB21/AA21-1</f>
        <v>-0.15402298850574714</v>
      </c>
      <c r="AC41" s="34">
        <f t="shared" ref="AC41" si="136">AC21/AB21-1</f>
        <v>-8.1521739130434812E-2</v>
      </c>
      <c r="AD41" s="34">
        <f>AD21/AC21-1</f>
        <v>-0.16863905325443784</v>
      </c>
      <c r="AE41" s="34">
        <f>AE21/AD21-1</f>
        <v>0.15658362989323837</v>
      </c>
    </row>
    <row r="42" spans="1:31" s="84" customFormat="1" ht="12.75" customHeight="1">
      <c r="A42" s="88" t="s">
        <v>215</v>
      </c>
      <c r="B42" s="96" t="s">
        <v>186</v>
      </c>
      <c r="C42" s="97" t="s">
        <v>186</v>
      </c>
      <c r="D42" s="97" t="s">
        <v>186</v>
      </c>
      <c r="E42" s="97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84">
        <f>T21-P21</f>
        <v>-16</v>
      </c>
      <c r="X42" s="63" t="s">
        <v>186</v>
      </c>
      <c r="Y42" s="84">
        <f t="shared" ref="Y42" si="145">Y21-X21</f>
        <v>54</v>
      </c>
      <c r="Z42" s="84">
        <f t="shared" ref="Z42" si="146">Z21-Y21</f>
        <v>-63</v>
      </c>
      <c r="AA42" s="84">
        <f t="shared" ref="AA42" si="147">AA21-Z21</f>
        <v>-15</v>
      </c>
      <c r="AB42" s="84">
        <f t="shared" ref="AB42" si="148">AB21-AA21</f>
        <v>-67</v>
      </c>
      <c r="AC42" s="84">
        <f t="shared" ref="AC42:AD42" si="149">AC21-AB21</f>
        <v>-30</v>
      </c>
      <c r="AD42" s="84">
        <f t="shared" si="149"/>
        <v>-57</v>
      </c>
      <c r="AE42" s="84">
        <f>AE21-AD21</f>
        <v>44</v>
      </c>
    </row>
    <row r="43" spans="1:31" ht="12.75" customHeight="1">
      <c r="A43" s="3" t="s">
        <v>216</v>
      </c>
      <c r="B43" s="96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:T43" si="165">S21/R21-1</f>
        <v>-9.52380952380949E-3</v>
      </c>
      <c r="T43" s="25">
        <f t="shared" si="165"/>
        <v>-4.8076923076923128E-2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  <c r="AE43" s="63" t="s">
        <v>186</v>
      </c>
    </row>
    <row r="44" spans="1:31" s="83" customFormat="1" ht="12.75" customHeight="1">
      <c r="A44" s="87" t="s">
        <v>216</v>
      </c>
      <c r="B44" s="96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81">
        <f>T21-S21</f>
        <v>-15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  <c r="AE44" s="63" t="s">
        <v>186</v>
      </c>
    </row>
    <row r="47" spans="1:31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</hyperlinks>
  <pageMargins left="0.7" right="0.7" top="0.75" bottom="0.75" header="0.3" footer="0.3"/>
  <pageSetup paperSize="256" orientation="portrait" horizontalDpi="203" verticalDpi="203" r:id="rId28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2022-11-14T13:32:38Z</dcterms:modified>
</cp:coreProperties>
</file>