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60D2B0B-7CE1-45F7-A68E-A8FA281F98F2}" xr6:coauthVersionLast="36" xr6:coauthVersionMax="47" xr10:uidLastSave="{00000000-0000-0000-0000-000000000000}"/>
  <bookViews>
    <workbookView xWindow="675" yWindow="495" windowWidth="32400" windowHeight="18900" activeTab="3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3" l="1"/>
  <c r="S5" i="1" l="1"/>
  <c r="S1" i="1" l="1"/>
  <c r="S10" i="1"/>
  <c r="S7" i="1"/>
  <c r="S3" i="1"/>
  <c r="Z3" i="1" l="1"/>
  <c r="Y3" i="1"/>
  <c r="X3" i="1"/>
  <c r="J3" i="1" l="1"/>
  <c r="I3" i="1"/>
  <c r="H3" i="1"/>
  <c r="G3" i="1"/>
  <c r="F3" i="1"/>
  <c r="L9" i="1" l="1"/>
  <c r="Z4" i="1" l="1"/>
  <c r="Z5" i="1" l="1"/>
  <c r="Z8" i="1" l="1"/>
  <c r="Z10" i="1" l="1"/>
  <c r="Z7" i="1" l="1"/>
  <c r="Z9" i="1" l="1"/>
  <c r="T9" i="1" l="1"/>
  <c r="Q9" i="1" l="1"/>
  <c r="P9" i="1"/>
  <c r="O9" i="1"/>
  <c r="Y9" i="1" l="1"/>
  <c r="X9" i="1"/>
  <c r="W9" i="1"/>
  <c r="V9" i="1"/>
  <c r="G9" i="1"/>
  <c r="F9" i="1"/>
  <c r="H9" i="1" l="1"/>
  <c r="I9" i="1"/>
  <c r="J9" i="1" l="1"/>
  <c r="F30" i="4" a="1"/>
  <c r="F30" i="4" s="1"/>
  <c r="Y8" i="1"/>
  <c r="X8" i="1"/>
  <c r="Y4" i="1"/>
  <c r="X4" i="1"/>
  <c r="Y5" i="1" l="1"/>
  <c r="X5" i="1"/>
  <c r="Y6" i="1"/>
  <c r="X6" i="1"/>
  <c r="Y7" i="1" l="1"/>
  <c r="X7" i="1"/>
  <c r="Y10" i="1"/>
  <c r="X10" i="1"/>
  <c r="W7" i="1" l="1"/>
  <c r="V7" i="1"/>
  <c r="T7" i="1"/>
  <c r="J4" i="1" l="1"/>
  <c r="I4" i="1"/>
  <c r="H4" i="1"/>
  <c r="G4" i="1"/>
  <c r="F4" i="1"/>
  <c r="L6" i="1" l="1"/>
  <c r="W6" i="1" l="1"/>
  <c r="V6" i="1"/>
  <c r="T6" i="1"/>
  <c r="T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H15" i="1"/>
  <c r="I8" i="1"/>
  <c r="H8" i="1"/>
  <c r="F8" i="1"/>
  <c r="I7" i="1"/>
  <c r="H7" i="1"/>
  <c r="F7" i="1"/>
  <c r="L10" i="1" l="1"/>
  <c r="P10" i="1" l="1"/>
  <c r="O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<sst xmlns="http://schemas.openxmlformats.org/spreadsheetml/2006/main" count="1065" uniqueCount="614">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</sst>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$ALK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6.5" x14ac:dyDescent="0.25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6.5" x14ac:dyDescent="0.25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6.5" x14ac:dyDescent="0.25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6.5" x14ac:dyDescent="0.25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6.5" x14ac:dyDescent="0.25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6.5" x14ac:dyDescent="0.25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6.5" x14ac:dyDescent="0.25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6.5" x14ac:dyDescent="0.25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6.5" x14ac:dyDescent="0.25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6.5" x14ac:dyDescent="0.25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6.5" x14ac:dyDescent="0.25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6.5" x14ac:dyDescent="0.25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6.5" x14ac:dyDescent="0.25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6.5" x14ac:dyDescent="0.25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6.5" x14ac:dyDescent="0.25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6.5" x14ac:dyDescent="0.25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6.5" x14ac:dyDescent="0.25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6.5" x14ac:dyDescent="0.25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6.5" x14ac:dyDescent="0.25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6.5" x14ac:dyDescent="0.25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6.5" x14ac:dyDescent="0.25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6.5" x14ac:dyDescent="0.25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6.5" x14ac:dyDescent="0.25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6.5" x14ac:dyDescent="0.25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6.5" x14ac:dyDescent="0.25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6.5" x14ac:dyDescent="0.25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6.5" x14ac:dyDescent="0.25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6.5" x14ac:dyDescent="0.25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6.5" x14ac:dyDescent="0.25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6.5" x14ac:dyDescent="0.25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6.5" x14ac:dyDescent="0.25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Z29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S1" sqref="S1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8" width="9.875" style="1" bestFit="1" customWidth="1"/>
    <col min="19" max="19" width="9.875" style="1" customWidth="1"/>
    <col min="20" max="21" width="8.875" style="1"/>
    <col min="22" max="23" width="8.875" style="4"/>
    <col min="24" max="24" width="8.875" style="1"/>
    <col min="25" max="25" width="16.375" style="1" bestFit="1" customWidth="1"/>
    <col min="26" max="16384" width="8.875" style="1"/>
  </cols>
  <sheetData>
    <row r="1" spans="2:26" x14ac:dyDescent="0.2">
      <c r="D1" s="1"/>
      <c r="F1" s="53" t="s">
        <v>398</v>
      </c>
      <c r="G1" s="53"/>
      <c r="H1" s="53"/>
      <c r="I1" s="53"/>
      <c r="J1" s="53"/>
      <c r="O1" s="1"/>
      <c r="P1" s="1"/>
      <c r="S1" s="43">
        <f>AVERAGE(S3:S10)</f>
        <v>10.144047619047617</v>
      </c>
      <c r="T1" s="39">
        <f>AVERAGE(T4:T10)</f>
        <v>1.3082569747231938</v>
      </c>
    </row>
    <row r="2" spans="2:26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611</v>
      </c>
      <c r="T2" s="3" t="s">
        <v>428</v>
      </c>
      <c r="V2" s="3" t="s">
        <v>429</v>
      </c>
      <c r="W2" s="3" t="s">
        <v>430</v>
      </c>
      <c r="X2" s="3" t="s">
        <v>405</v>
      </c>
      <c r="Y2" s="3" t="s">
        <v>436</v>
      </c>
      <c r="Z2" s="3" t="s">
        <v>610</v>
      </c>
    </row>
    <row r="3" spans="2:26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[1]Main!$C$6*H22</f>
        <v>60.763999999999996</v>
      </c>
      <c r="G3" s="26">
        <f>[1]Main!$C$7</f>
        <v>227.43</v>
      </c>
      <c r="H3" s="26">
        <f>[1]Main!$C$12*H22</f>
        <v>13819.55652</v>
      </c>
      <c r="I3" s="40">
        <f>[1]Main!$C$11*H22</f>
        <v>0</v>
      </c>
      <c r="J3" s="26">
        <f>[1]Main!$C$12*H22</f>
        <v>13819.55652</v>
      </c>
      <c r="K3" s="1" t="s">
        <v>396</v>
      </c>
      <c r="L3" s="4"/>
      <c r="M3" s="4"/>
      <c r="S3" s="41">
        <f>AVERAGE(12.8,4.6,11.7)</f>
        <v>9.6999999999999993</v>
      </c>
      <c r="T3" s="4"/>
      <c r="X3" s="4">
        <f>[1]Main!$C$31</f>
        <v>1984</v>
      </c>
      <c r="Y3" s="4" t="str">
        <f>[1]Main!$C$30</f>
        <v>Dublin, Ireland</v>
      </c>
      <c r="Z3" s="4">
        <f>[1]Main!$C$32</f>
        <v>1997</v>
      </c>
    </row>
    <row r="4" spans="2:26" x14ac:dyDescent="0.2">
      <c r="B4" s="25" t="s">
        <v>433</v>
      </c>
      <c r="C4" s="1" t="s">
        <v>431</v>
      </c>
      <c r="D4" s="4" t="s">
        <v>42</v>
      </c>
      <c r="E4" s="4" t="s">
        <v>434</v>
      </c>
      <c r="F4" s="28">
        <f>[2]Main!$C$6*H25</f>
        <v>19.570099999999996</v>
      </c>
      <c r="G4" s="26">
        <f>[2]Main!$C$7</f>
        <v>385.26</v>
      </c>
      <c r="H4" s="26">
        <f>[2]Main!$C$8*H25</f>
        <v>7539.5767259999993</v>
      </c>
      <c r="I4" s="26">
        <f>[2]Main!$C$11*H25</f>
        <v>0</v>
      </c>
      <c r="J4" s="26">
        <f>[2]Main!$C$12*H25</f>
        <v>7539.5767259999993</v>
      </c>
      <c r="K4" s="1" t="s">
        <v>432</v>
      </c>
      <c r="L4" s="4"/>
      <c r="M4" s="4"/>
      <c r="Q4" s="4"/>
      <c r="S4" s="4">
        <v>10.7</v>
      </c>
      <c r="T4" s="4"/>
      <c r="X4" s="4">
        <f>[2]Main!$C$25</f>
        <v>2005</v>
      </c>
      <c r="Y4" s="4" t="str">
        <f>[2]Main!$C$24</f>
        <v>Gurgaon, India</v>
      </c>
      <c r="Z4" s="4">
        <f>[2]Main!$C$26</f>
        <v>2015</v>
      </c>
    </row>
    <row r="5" spans="2:26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O5" s="4">
        <v>531</v>
      </c>
      <c r="Q5" s="4">
        <v>200</v>
      </c>
      <c r="S5" s="42">
        <f>[3]Main!$V$12</f>
        <v>13.233333333333334</v>
      </c>
      <c r="T5" s="4"/>
      <c r="X5" s="4">
        <f>[3]Main!$C$28</f>
        <v>2011</v>
      </c>
      <c r="Y5" s="4" t="str">
        <f>[3]Main!$C$27</f>
        <v>London/Madrid</v>
      </c>
      <c r="Z5" s="4">
        <f>[3]Main!$C$29</f>
        <v>2011</v>
      </c>
    </row>
    <row r="6" spans="2:26" x14ac:dyDescent="0.2">
      <c r="B6" s="25" t="s">
        <v>425</v>
      </c>
      <c r="C6" s="1" t="s">
        <v>427</v>
      </c>
      <c r="D6" s="4" t="s">
        <v>42</v>
      </c>
      <c r="E6" s="4" t="s">
        <v>383</v>
      </c>
      <c r="F6" s="28">
        <f>[4]Main!$C$6*H22</f>
        <v>36.810400000000001</v>
      </c>
      <c r="G6" s="26">
        <f>[4]Main!$C$7</f>
        <v>126.5</v>
      </c>
      <c r="H6" s="26">
        <f>[4]Main!$C$8*H22</f>
        <v>4656.5155999999997</v>
      </c>
      <c r="I6" s="26">
        <f>[4]Main!$C$11*H22</f>
        <v>987.36</v>
      </c>
      <c r="J6" s="26">
        <f>[4]Main!$C$12*H22</f>
        <v>3669.1556</v>
      </c>
      <c r="K6" s="1" t="s">
        <v>426</v>
      </c>
      <c r="L6" s="22">
        <f>'[4]Financial Model'!$V$42</f>
        <v>0.26862302483069977</v>
      </c>
      <c r="M6" s="4"/>
      <c r="Q6" s="4"/>
      <c r="S6" s="4">
        <v>10.199999999999999</v>
      </c>
      <c r="T6" s="35">
        <f>[4]Main!$C$35</f>
        <v>1.3933386917609896</v>
      </c>
      <c r="V6" s="4" t="str">
        <f>[4]Main!$C$30</f>
        <v>Q222</v>
      </c>
      <c r="W6" s="36">
        <f>[4]Main!$D$30</f>
        <v>44378</v>
      </c>
      <c r="X6" s="4">
        <f>[4]Main!$C$23</f>
        <v>1932</v>
      </c>
      <c r="Y6" s="4" t="str">
        <f>[4]Main!$C$24</f>
        <v>Seattle, WA</v>
      </c>
      <c r="Z6" s="4"/>
    </row>
    <row r="7" spans="2:26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394</v>
      </c>
      <c r="L7" s="22">
        <f>'[5]Financial Model'!$I$31</f>
        <v>2.4699599465954607E-2</v>
      </c>
      <c r="M7" s="4"/>
      <c r="O7" s="4">
        <v>310</v>
      </c>
      <c r="P7" s="4">
        <v>106</v>
      </c>
      <c r="Q7" s="4">
        <v>136</v>
      </c>
      <c r="S7" s="4">
        <f>AVERAGE(10,9.2,7.2)</f>
        <v>8.7999999999999989</v>
      </c>
      <c r="T7" s="35">
        <f>[5]Main!$C$37</f>
        <v>1.0939180327868854</v>
      </c>
      <c r="V7" s="4" t="str">
        <f>[5]Main!$C$31</f>
        <v>H122</v>
      </c>
      <c r="W7" s="36">
        <f>[5]Main!$D$31</f>
        <v>44700</v>
      </c>
      <c r="X7" s="4">
        <f>[5]Main!$C$28</f>
        <v>1995</v>
      </c>
      <c r="Y7" s="4" t="str">
        <f>[5]Main!$C$27</f>
        <v>Luton, UK</v>
      </c>
      <c r="Z7" s="4">
        <f>[5]Main!$C$29</f>
        <v>2000</v>
      </c>
    </row>
    <row r="8" spans="2:26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4">
        <v>15.3</v>
      </c>
      <c r="T8" s="4"/>
      <c r="X8" s="4">
        <f>[6]Main!$C$28</f>
        <v>1971</v>
      </c>
      <c r="Y8" s="4" t="str">
        <f>[6]Main!$C$27</f>
        <v>Leeds, UK</v>
      </c>
      <c r="Z8" s="4">
        <f>[6]Main!$C$29</f>
        <v>1988</v>
      </c>
    </row>
    <row r="9" spans="2:26" x14ac:dyDescent="0.2">
      <c r="B9" s="25" t="s">
        <v>438</v>
      </c>
      <c r="C9" s="1" t="s">
        <v>439</v>
      </c>
      <c r="D9" s="4" t="s">
        <v>65</v>
      </c>
      <c r="E9" s="4" t="s">
        <v>383</v>
      </c>
      <c r="F9" s="28">
        <f>[7]Main!$C$6*H22</f>
        <v>25.053599999999999</v>
      </c>
      <c r="G9" s="26">
        <f>[7]Main!$C$7</f>
        <v>73.998000000000005</v>
      </c>
      <c r="H9" s="26">
        <f>[7]Main!$C$8*H22</f>
        <v>1853.9162928000003</v>
      </c>
      <c r="I9" s="26">
        <f>[7]Main!$C$11*H22</f>
        <v>-1157.33816</v>
      </c>
      <c r="J9" s="26">
        <f>[7]Main!$C$12*H22</f>
        <v>3011.2544528000003</v>
      </c>
      <c r="K9" s="1" t="s">
        <v>609</v>
      </c>
      <c r="L9" s="22">
        <f>'[7]Financial Model'!$U$37</f>
        <v>0.33604299344574362</v>
      </c>
      <c r="O9" s="4">
        <f>[7]Main!$D$23</f>
        <v>117</v>
      </c>
      <c r="P9" s="4">
        <f>[7]Main!$D$24</f>
        <v>2</v>
      </c>
      <c r="Q9" s="4" t="str">
        <f>[7]Main!$D$25</f>
        <v>N/A</v>
      </c>
      <c r="S9" s="4"/>
      <c r="T9" s="35">
        <f>[7]Main!$C$38</f>
        <v>1.4375141996217067</v>
      </c>
      <c r="V9" s="4" t="str">
        <f>[7]Main!$C$33</f>
        <v>Q322</v>
      </c>
      <c r="W9" s="36">
        <f>[7]Main!$D$33</f>
        <v>44868</v>
      </c>
      <c r="X9" s="4">
        <f>[7]Main!$C$30</f>
        <v>1980</v>
      </c>
      <c r="Y9" s="4" t="str">
        <f>[7]Main!$C$29</f>
        <v>Wilmington, OH</v>
      </c>
      <c r="Z9" s="4">
        <f>[7]Main!$C$31</f>
        <v>2003</v>
      </c>
    </row>
    <row r="10" spans="2:26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4">
        <f>[8]Main!$D$21</f>
        <v>0</v>
      </c>
      <c r="P10" s="4">
        <f>[8]Main!$D$22</f>
        <v>153</v>
      </c>
      <c r="Q10" s="4"/>
      <c r="S10" s="42">
        <f>AVERAGE(5.2,3.7,0.7,2.7)</f>
        <v>3.0750000000000002</v>
      </c>
      <c r="T10" s="4"/>
      <c r="X10" s="4">
        <f>[8]Main!$C$29</f>
        <v>2003</v>
      </c>
      <c r="Y10" s="4" t="str">
        <f>[8]Main!$C$28</f>
        <v>Budapest, Hungary</v>
      </c>
      <c r="Z10" s="4">
        <f>[8]Main!$C$30</f>
        <v>2015</v>
      </c>
    </row>
    <row r="11" spans="2:26" x14ac:dyDescent="0.2">
      <c r="B11" s="25"/>
      <c r="E11" s="4"/>
      <c r="H11" s="28"/>
      <c r="I11" s="27"/>
      <c r="J11" s="27"/>
      <c r="L11" s="4"/>
      <c r="M11" s="4"/>
      <c r="Q11" s="4"/>
      <c r="T11" s="4"/>
    </row>
    <row r="12" spans="2:26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T12" s="4"/>
    </row>
    <row r="13" spans="2:26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O13" s="4">
        <v>130</v>
      </c>
      <c r="P13" s="4">
        <v>44</v>
      </c>
      <c r="Q13" s="4"/>
      <c r="T13" s="4"/>
    </row>
    <row r="14" spans="2:26" x14ac:dyDescent="0.2">
      <c r="B14" s="33">
        <v>753</v>
      </c>
      <c r="C14" s="1" t="s">
        <v>88</v>
      </c>
      <c r="D14" s="4" t="s">
        <v>399</v>
      </c>
      <c r="H14" s="31"/>
      <c r="K14" s="1" t="s">
        <v>608</v>
      </c>
      <c r="L14" s="4"/>
      <c r="M14" s="4"/>
      <c r="Q14" s="4"/>
      <c r="T14" s="4"/>
    </row>
    <row r="15" spans="2:26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(F15*H22)*592.96</f>
        <v>20945.244672000001</v>
      </c>
      <c r="K15" s="1" t="s">
        <v>397</v>
      </c>
      <c r="L15" s="4"/>
      <c r="M15" s="4"/>
      <c r="T15" s="4"/>
    </row>
    <row r="16" spans="2:26" x14ac:dyDescent="0.2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T16" s="4"/>
    </row>
    <row r="17" spans="2:2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2693.0962079999999</v>
      </c>
      <c r="K17" s="1" t="s">
        <v>395</v>
      </c>
      <c r="L17" s="4"/>
      <c r="M17" s="4"/>
      <c r="T17" s="4"/>
    </row>
    <row r="18" spans="2:20" x14ac:dyDescent="0.2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T18" s="4"/>
    </row>
    <row r="19" spans="2:20" x14ac:dyDescent="0.2">
      <c r="H19" s="32"/>
    </row>
    <row r="21" spans="2:20" x14ac:dyDescent="0.2">
      <c r="D21" s="1"/>
      <c r="F21" s="45" t="s">
        <v>378</v>
      </c>
      <c r="G21" s="46"/>
      <c r="H21" s="47"/>
      <c r="O21" s="1"/>
      <c r="P21" s="1"/>
    </row>
    <row r="22" spans="2:20" x14ac:dyDescent="0.2">
      <c r="D22" s="1"/>
      <c r="F22" s="50" t="s">
        <v>379</v>
      </c>
      <c r="G22" s="51"/>
      <c r="H22" s="23">
        <v>0.88</v>
      </c>
      <c r="O22" s="1"/>
      <c r="P22" s="1"/>
    </row>
    <row r="23" spans="2:20" x14ac:dyDescent="0.2">
      <c r="D23" s="1"/>
      <c r="F23" s="50" t="s">
        <v>380</v>
      </c>
      <c r="G23" s="51"/>
      <c r="H23" s="23">
        <v>0.85</v>
      </c>
      <c r="O23" s="1"/>
      <c r="P23" s="1"/>
    </row>
    <row r="24" spans="2:20" x14ac:dyDescent="0.2">
      <c r="D24" s="1"/>
      <c r="F24" s="50" t="s">
        <v>391</v>
      </c>
      <c r="G24" s="51"/>
      <c r="H24" s="23">
        <v>6.0000000000000001E-3</v>
      </c>
      <c r="O24" s="1"/>
      <c r="P24" s="1"/>
    </row>
    <row r="25" spans="2:20" x14ac:dyDescent="0.2">
      <c r="F25" s="48" t="s">
        <v>435</v>
      </c>
      <c r="G25" s="49"/>
      <c r="H25" s="24">
        <v>1.0999999999999999E-2</v>
      </c>
    </row>
    <row r="28" spans="2:20" x14ac:dyDescent="0.2">
      <c r="F28" s="45" t="s">
        <v>413</v>
      </c>
      <c r="G28" s="46"/>
      <c r="H28" s="47"/>
    </row>
    <row r="29" spans="2:20" x14ac:dyDescent="0.2">
      <c r="F29" s="1" t="s">
        <v>612</v>
      </c>
      <c r="G29" s="34" t="s">
        <v>613</v>
      </c>
    </row>
  </sheetData>
  <mergeCells count="8">
    <mergeCell ref="F1:J1"/>
    <mergeCell ref="F22:G22"/>
    <mergeCell ref="F23:G23"/>
    <mergeCell ref="F28:H28"/>
    <mergeCell ref="F25:G25"/>
    <mergeCell ref="F24:G24"/>
    <mergeCell ref="F21:H21"/>
    <mergeCell ref="B12:Q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29" r:id="rId9" xr:uid="{76EE83BD-7400-4A46-978B-D25721A01204}"/>
  </hyperlinks>
  <pageMargins left="0.7" right="0.7" top="0.75" bottom="0.75" header="0.3" footer="0.3"/>
  <pageSetup paperSize="256" orientation="portrait" horizontalDpi="203" verticalDpi="203" r:id="rId10"/>
  <legacy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M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" sqref="K1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2" width="8" style="1"/>
    <col min="13" max="13" width="33.875" style="1" bestFit="1" customWidth="1"/>
    <col min="14" max="16384" width="8" style="1"/>
  </cols>
  <sheetData>
    <row r="1" spans="2:13" x14ac:dyDescent="0.2">
      <c r="K1" s="43">
        <f>AVERAGE(K3:K5)</f>
        <v>9.6</v>
      </c>
    </row>
    <row r="2" spans="2:13" s="2" customFormat="1" x14ac:dyDescent="0.2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611</v>
      </c>
      <c r="L2" s="3" t="s">
        <v>413</v>
      </c>
      <c r="M2" s="2" t="s">
        <v>406</v>
      </c>
    </row>
    <row r="3" spans="2:13" x14ac:dyDescent="0.2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4">
        <v>13.9</v>
      </c>
      <c r="L3" s="34" t="s">
        <v>414</v>
      </c>
      <c r="M3" s="1" t="s">
        <v>424</v>
      </c>
    </row>
    <row r="4" spans="2:13" x14ac:dyDescent="0.2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4">
        <v>7.1</v>
      </c>
      <c r="L4" s="34" t="s">
        <v>414</v>
      </c>
      <c r="M4" s="1" t="s">
        <v>415</v>
      </c>
    </row>
    <row r="5" spans="2:13" x14ac:dyDescent="0.2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4">
        <v>7.8</v>
      </c>
      <c r="L5" s="34" t="s">
        <v>414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2022-11-10T12:36:07Z</dcterms:modified>
</cp:coreProperties>
</file>