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E500611-7006-4FAD-ACC9-3FCD685CF3C4}" xr6:coauthVersionLast="36" xr6:coauthVersionMax="36" xr10:uidLastSave="{00000000-0000-0000-0000-000000000000}"/>
  <bookViews>
    <workbookView xWindow="0" yWindow="0" windowWidth="27435" windowHeight="11100" activeTab="1" xr2:uid="{A0DE9234-8F94-41AD-8663-2284C148F32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8" i="2" l="1"/>
  <c r="AU25" i="2"/>
  <c r="AK23" i="2" l="1"/>
  <c r="AL23" i="2" s="1"/>
  <c r="AM23" i="2" s="1"/>
  <c r="AN23" i="2" s="1"/>
  <c r="AO23" i="2" s="1"/>
  <c r="AP23" i="2" s="1"/>
  <c r="AQ23" i="2" s="1"/>
  <c r="AR23" i="2" s="1"/>
  <c r="AJ23" i="2"/>
  <c r="AJ18" i="2"/>
  <c r="AJ17" i="2"/>
  <c r="AK17" i="2" s="1"/>
  <c r="AK16" i="2"/>
  <c r="AJ16" i="2"/>
  <c r="AK18" i="2" l="1"/>
  <c r="AL18" i="2"/>
  <c r="AL17" i="2"/>
  <c r="AL16" i="2"/>
  <c r="AM16" i="2"/>
  <c r="C33" i="1"/>
  <c r="C10" i="1"/>
  <c r="C9" i="1"/>
  <c r="D11" i="1"/>
  <c r="D10" i="1"/>
  <c r="D9" i="1"/>
  <c r="AI23" i="2"/>
  <c r="AI18" i="2"/>
  <c r="AI17" i="2"/>
  <c r="AI16" i="2"/>
  <c r="Z23" i="2"/>
  <c r="Z18" i="2"/>
  <c r="Z17" i="2"/>
  <c r="Z16" i="2"/>
  <c r="Z6" i="2"/>
  <c r="Z13" i="2" s="1"/>
  <c r="R13" i="2"/>
  <c r="R12" i="2"/>
  <c r="R11" i="2"/>
  <c r="R14" i="2" s="1"/>
  <c r="R15" i="2" s="1"/>
  <c r="R19" i="2" s="1"/>
  <c r="R18" i="2"/>
  <c r="R17" i="2"/>
  <c r="R16" i="2"/>
  <c r="R20" i="2"/>
  <c r="R23" i="2"/>
  <c r="R6" i="2"/>
  <c r="R9" i="2"/>
  <c r="R10" i="2" s="1"/>
  <c r="R8" i="2"/>
  <c r="R7" i="2"/>
  <c r="R5" i="2"/>
  <c r="R4" i="2"/>
  <c r="AG80" i="2"/>
  <c r="AG79" i="2"/>
  <c r="AG78" i="2"/>
  <c r="AG74" i="2"/>
  <c r="AG75" i="2" s="1"/>
  <c r="AG71" i="2"/>
  <c r="AG70" i="2"/>
  <c r="AG69" i="2"/>
  <c r="AG67" i="2"/>
  <c r="AG66" i="2"/>
  <c r="AG64" i="2"/>
  <c r="AG55" i="2"/>
  <c r="AG61" i="2" s="1"/>
  <c r="AG48" i="2"/>
  <c r="AG45" i="2"/>
  <c r="AG42" i="2"/>
  <c r="AH32" i="2"/>
  <c r="AH31" i="2"/>
  <c r="AH30" i="2"/>
  <c r="AH29" i="2"/>
  <c r="AG32" i="2"/>
  <c r="AG31" i="2"/>
  <c r="AG30" i="2"/>
  <c r="AG29" i="2"/>
  <c r="AH26" i="2"/>
  <c r="AG22" i="2"/>
  <c r="AG19" i="2"/>
  <c r="AG21" i="2" s="1"/>
  <c r="AG15" i="2"/>
  <c r="AG14" i="2"/>
  <c r="AG9" i="2"/>
  <c r="AG10" i="2" s="1"/>
  <c r="AH66" i="2"/>
  <c r="AH67" i="2" s="1"/>
  <c r="AH77" i="2" s="1"/>
  <c r="AH71" i="2"/>
  <c r="AH70" i="2"/>
  <c r="AH69" i="2"/>
  <c r="AH74" i="2"/>
  <c r="AH78" i="2" s="1"/>
  <c r="AH73" i="2"/>
  <c r="X79" i="2"/>
  <c r="W79" i="2"/>
  <c r="V79" i="2"/>
  <c r="X78" i="2"/>
  <c r="W78" i="2"/>
  <c r="V78" i="2"/>
  <c r="X80" i="2"/>
  <c r="W80" i="2"/>
  <c r="Y80" i="2"/>
  <c r="Y79" i="2"/>
  <c r="Y78" i="2"/>
  <c r="V77" i="2"/>
  <c r="W27" i="2"/>
  <c r="V32" i="2"/>
  <c r="V31" i="2"/>
  <c r="V30" i="2"/>
  <c r="V29" i="2"/>
  <c r="V27" i="2"/>
  <c r="AH14" i="2"/>
  <c r="AH9" i="2"/>
  <c r="AH10" i="2" s="1"/>
  <c r="V23" i="2"/>
  <c r="V20" i="2"/>
  <c r="V18" i="2"/>
  <c r="V17" i="2"/>
  <c r="V16" i="2"/>
  <c r="V13" i="2"/>
  <c r="V12" i="2"/>
  <c r="V11" i="2"/>
  <c r="V8" i="2"/>
  <c r="V7" i="2"/>
  <c r="V9" i="2" s="1"/>
  <c r="V10" i="2" s="1"/>
  <c r="V6" i="2"/>
  <c r="V5" i="2"/>
  <c r="V4" i="2"/>
  <c r="Y77" i="2"/>
  <c r="X77" i="2"/>
  <c r="Y74" i="2"/>
  <c r="Y75" i="2" s="1"/>
  <c r="X74" i="2"/>
  <c r="X75" i="2" s="1"/>
  <c r="V74" i="2"/>
  <c r="V75" i="2" s="1"/>
  <c r="V67" i="2"/>
  <c r="Y71" i="2"/>
  <c r="Y70" i="2"/>
  <c r="Y69" i="2"/>
  <c r="Y66" i="2"/>
  <c r="Y67" i="2" s="1"/>
  <c r="Y64" i="2"/>
  <c r="Y61" i="2"/>
  <c r="Y55" i="2"/>
  <c r="Y48" i="2"/>
  <c r="Y45" i="2"/>
  <c r="Y42" i="2"/>
  <c r="C7" i="1"/>
  <c r="D7" i="1"/>
  <c r="U27" i="2"/>
  <c r="U29" i="2"/>
  <c r="U14" i="2"/>
  <c r="U9" i="2"/>
  <c r="U10" i="2" s="1"/>
  <c r="U6" i="2"/>
  <c r="Y26" i="2" s="1"/>
  <c r="Y32" i="2"/>
  <c r="Y31" i="2"/>
  <c r="Y30" i="2"/>
  <c r="Y29" i="2"/>
  <c r="Y27" i="2"/>
  <c r="Y22" i="2"/>
  <c r="Y21" i="2"/>
  <c r="Y19" i="2"/>
  <c r="Y15" i="2"/>
  <c r="Y14" i="2"/>
  <c r="Y10" i="2"/>
  <c r="Y9" i="2"/>
  <c r="Y6" i="2"/>
  <c r="AM18" i="2" l="1"/>
  <c r="AN16" i="2"/>
  <c r="AM17" i="2"/>
  <c r="AI13" i="2"/>
  <c r="Z9" i="2"/>
  <c r="AI9" i="2" s="1"/>
  <c r="Z26" i="2"/>
  <c r="Z11" i="2"/>
  <c r="AI11" i="2" s="1"/>
  <c r="Z12" i="2"/>
  <c r="AI12" i="2" s="1"/>
  <c r="AI6" i="2"/>
  <c r="R21" i="2"/>
  <c r="R22" i="2" s="1"/>
  <c r="AH75" i="2"/>
  <c r="AH79" i="2" s="1"/>
  <c r="AH15" i="2"/>
  <c r="AH19" i="2" s="1"/>
  <c r="AH21" i="2" s="1"/>
  <c r="AH22" i="2" s="1"/>
  <c r="AH80" i="2" s="1"/>
  <c r="V14" i="2"/>
  <c r="V15" i="2" s="1"/>
  <c r="V19" i="2" s="1"/>
  <c r="V21" i="2" s="1"/>
  <c r="V22" i="2" s="1"/>
  <c r="U15" i="2"/>
  <c r="AH63" i="2"/>
  <c r="AH60" i="2"/>
  <c r="AH59" i="2"/>
  <c r="AH58" i="2"/>
  <c r="AH57" i="2"/>
  <c r="AH54" i="2"/>
  <c r="AH53" i="2"/>
  <c r="AH52" i="2"/>
  <c r="AH51" i="2"/>
  <c r="AH50" i="2"/>
  <c r="AH55" i="2" s="1"/>
  <c r="AH56" i="2"/>
  <c r="AH47" i="2"/>
  <c r="AH46" i="2"/>
  <c r="AH45" i="2"/>
  <c r="AH44" i="2"/>
  <c r="AH48" i="2" s="1"/>
  <c r="AH43" i="2"/>
  <c r="AH42" i="2"/>
  <c r="AH41" i="2"/>
  <c r="AH40" i="2"/>
  <c r="AH39" i="2"/>
  <c r="AH38" i="2"/>
  <c r="AH37" i="2"/>
  <c r="V45" i="2"/>
  <c r="X45" i="2"/>
  <c r="M71" i="2"/>
  <c r="L71" i="2"/>
  <c r="K71" i="2"/>
  <c r="J71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V69" i="2"/>
  <c r="U69" i="2"/>
  <c r="U71" i="2" s="1"/>
  <c r="T69" i="2"/>
  <c r="T71" i="2" s="1"/>
  <c r="S69" i="2"/>
  <c r="S71" i="2" s="1"/>
  <c r="R69" i="2"/>
  <c r="R71" i="2" s="1"/>
  <c r="Q69" i="2"/>
  <c r="Q71" i="2" s="1"/>
  <c r="P69" i="2"/>
  <c r="P71" i="2" s="1"/>
  <c r="O69" i="2"/>
  <c r="O71" i="2" s="1"/>
  <c r="N69" i="2"/>
  <c r="N71" i="2" s="1"/>
  <c r="M69" i="2"/>
  <c r="L69" i="2"/>
  <c r="K69" i="2"/>
  <c r="J69" i="2"/>
  <c r="I69" i="2"/>
  <c r="I71" i="2" s="1"/>
  <c r="H69" i="2"/>
  <c r="H71" i="2" s="1"/>
  <c r="G69" i="2"/>
  <c r="G71" i="2" s="1"/>
  <c r="F69" i="2"/>
  <c r="F71" i="2" s="1"/>
  <c r="E69" i="2"/>
  <c r="E71" i="2" s="1"/>
  <c r="D69" i="2"/>
  <c r="D71" i="2" s="1"/>
  <c r="C69" i="2"/>
  <c r="C71" i="2" s="1"/>
  <c r="X70" i="2"/>
  <c r="X69" i="2"/>
  <c r="X71" i="2" s="1"/>
  <c r="W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R67" i="2"/>
  <c r="Q67" i="2"/>
  <c r="P67" i="2"/>
  <c r="O67" i="2"/>
  <c r="M67" i="2"/>
  <c r="L67" i="2"/>
  <c r="K67" i="2"/>
  <c r="F67" i="2"/>
  <c r="E67" i="2"/>
  <c r="D67" i="2"/>
  <c r="C67" i="2"/>
  <c r="U66" i="2"/>
  <c r="U67" i="2" s="1"/>
  <c r="T66" i="2"/>
  <c r="T67" i="2" s="1"/>
  <c r="S66" i="2"/>
  <c r="S67" i="2" s="1"/>
  <c r="R66" i="2"/>
  <c r="Q66" i="2"/>
  <c r="P66" i="2"/>
  <c r="O66" i="2"/>
  <c r="N66" i="2"/>
  <c r="N67" i="2" s="1"/>
  <c r="M66" i="2"/>
  <c r="L66" i="2"/>
  <c r="K66" i="2"/>
  <c r="J66" i="2"/>
  <c r="J67" i="2" s="1"/>
  <c r="I66" i="2"/>
  <c r="I67" i="2" s="1"/>
  <c r="H66" i="2"/>
  <c r="H67" i="2" s="1"/>
  <c r="G66" i="2"/>
  <c r="G67" i="2" s="1"/>
  <c r="F66" i="2"/>
  <c r="E66" i="2"/>
  <c r="D66" i="2"/>
  <c r="C66" i="2"/>
  <c r="X55" i="2"/>
  <c r="X61" i="2" s="1"/>
  <c r="X64" i="2" s="1"/>
  <c r="V55" i="2"/>
  <c r="V61" i="2" s="1"/>
  <c r="V64" i="2" s="1"/>
  <c r="U55" i="2"/>
  <c r="U61" i="2" s="1"/>
  <c r="T55" i="2"/>
  <c r="T61" i="2" s="1"/>
  <c r="S55" i="2"/>
  <c r="S61" i="2" s="1"/>
  <c r="R55" i="2"/>
  <c r="R61" i="2" s="1"/>
  <c r="Q55" i="2"/>
  <c r="P55" i="2"/>
  <c r="O55" i="2"/>
  <c r="N55" i="2"/>
  <c r="M55" i="2"/>
  <c r="M61" i="2" s="1"/>
  <c r="L55" i="2"/>
  <c r="L61" i="2" s="1"/>
  <c r="K55" i="2"/>
  <c r="K61" i="2" s="1"/>
  <c r="J55" i="2"/>
  <c r="J61" i="2" s="1"/>
  <c r="I55" i="2"/>
  <c r="I61" i="2" s="1"/>
  <c r="H55" i="2"/>
  <c r="H61" i="2" s="1"/>
  <c r="G55" i="2"/>
  <c r="G61" i="2" s="1"/>
  <c r="F55" i="2"/>
  <c r="F61" i="2" s="1"/>
  <c r="E55" i="2"/>
  <c r="D55" i="2"/>
  <c r="C55" i="2"/>
  <c r="Q61" i="2"/>
  <c r="P61" i="2"/>
  <c r="O61" i="2"/>
  <c r="N61" i="2"/>
  <c r="E61" i="2"/>
  <c r="D61" i="2"/>
  <c r="C61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V42" i="2"/>
  <c r="V48" i="2" s="1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X42" i="2"/>
  <c r="AN18" i="2" l="1"/>
  <c r="AO18" i="2" s="1"/>
  <c r="AO16" i="2"/>
  <c r="AN17" i="2"/>
  <c r="AP16" i="2"/>
  <c r="AI14" i="2"/>
  <c r="Z10" i="2"/>
  <c r="Z14" i="2"/>
  <c r="Z15" i="2" s="1"/>
  <c r="AI10" i="2"/>
  <c r="AI29" i="2" s="1"/>
  <c r="AI26" i="2"/>
  <c r="AJ6" i="2"/>
  <c r="U19" i="2"/>
  <c r="U30" i="2"/>
  <c r="V71" i="2"/>
  <c r="V66" i="2"/>
  <c r="AH61" i="2"/>
  <c r="AH64" i="2" s="1"/>
  <c r="X48" i="2"/>
  <c r="X66" i="2" s="1"/>
  <c r="X67" i="2" s="1"/>
  <c r="AG6" i="2"/>
  <c r="AF6" i="2"/>
  <c r="AF5" i="2"/>
  <c r="AF4" i="2"/>
  <c r="T27" i="2"/>
  <c r="X26" i="2"/>
  <c r="W22" i="2"/>
  <c r="T14" i="2"/>
  <c r="T9" i="2"/>
  <c r="T10" i="2" s="1"/>
  <c r="T29" i="2" s="1"/>
  <c r="T6" i="2"/>
  <c r="X15" i="2"/>
  <c r="X30" i="2" s="1"/>
  <c r="X14" i="2"/>
  <c r="X27" i="2"/>
  <c r="X29" i="2"/>
  <c r="X10" i="2"/>
  <c r="X9" i="2"/>
  <c r="X6" i="2"/>
  <c r="W74" i="2"/>
  <c r="AK6" i="2" l="1"/>
  <c r="AK12" i="2" s="1"/>
  <c r="AJ12" i="2"/>
  <c r="AJ13" i="2"/>
  <c r="AJ11" i="2"/>
  <c r="AJ9" i="2"/>
  <c r="AJ10" i="2" s="1"/>
  <c r="AK9" i="2"/>
  <c r="AK10" i="2" s="1"/>
  <c r="AP18" i="2"/>
  <c r="AO17" i="2"/>
  <c r="AP17" i="2" s="1"/>
  <c r="AQ16" i="2"/>
  <c r="AR16" i="2" s="1"/>
  <c r="Z30" i="2"/>
  <c r="Z19" i="2"/>
  <c r="AI15" i="2"/>
  <c r="U21" i="2"/>
  <c r="U32" i="2"/>
  <c r="T15" i="2"/>
  <c r="AH6" i="2"/>
  <c r="X19" i="2"/>
  <c r="W71" i="2"/>
  <c r="W75" i="2" s="1"/>
  <c r="W70" i="2"/>
  <c r="W69" i="2"/>
  <c r="W61" i="2"/>
  <c r="W55" i="2"/>
  <c r="W48" i="2"/>
  <c r="W45" i="2"/>
  <c r="W42" i="2"/>
  <c r="S14" i="2"/>
  <c r="W14" i="2"/>
  <c r="W26" i="2"/>
  <c r="W9" i="2"/>
  <c r="S9" i="2"/>
  <c r="S6" i="2"/>
  <c r="W6" i="2"/>
  <c r="AK11" i="2" l="1"/>
  <c r="AK13" i="2"/>
  <c r="AJ14" i="2"/>
  <c r="AL6" i="2"/>
  <c r="AL12" i="2" s="1"/>
  <c r="AJ15" i="2"/>
  <c r="AJ19" i="2" s="1"/>
  <c r="AK14" i="2"/>
  <c r="AK15" i="2" s="1"/>
  <c r="AK19" i="2" s="1"/>
  <c r="AQ18" i="2"/>
  <c r="AR18" i="2" s="1"/>
  <c r="AQ17" i="2"/>
  <c r="AR17" i="2" s="1"/>
  <c r="Z20" i="2"/>
  <c r="AI20" i="2" s="1"/>
  <c r="AI19" i="2"/>
  <c r="AI21" i="2" s="1"/>
  <c r="AI30" i="2"/>
  <c r="U31" i="2"/>
  <c r="U22" i="2"/>
  <c r="T30" i="2"/>
  <c r="T19" i="2"/>
  <c r="X32" i="2"/>
  <c r="X21" i="2"/>
  <c r="W66" i="2"/>
  <c r="W67" i="2" s="1"/>
  <c r="W77" i="2" s="1"/>
  <c r="S10" i="2"/>
  <c r="W10" i="2"/>
  <c r="AL9" i="2" l="1"/>
  <c r="AL10" i="2" s="1"/>
  <c r="AL11" i="2"/>
  <c r="AL13" i="2"/>
  <c r="AM6" i="2"/>
  <c r="AM12" i="2" s="1"/>
  <c r="AJ20" i="2"/>
  <c r="AJ21" i="2" s="1"/>
  <c r="AJ22" i="2" s="1"/>
  <c r="AK20" i="2"/>
  <c r="AK21" i="2" s="1"/>
  <c r="AL14" i="2"/>
  <c r="AL15" i="2" s="1"/>
  <c r="AL19" i="2" s="1"/>
  <c r="AI22" i="2"/>
  <c r="AI31" i="2"/>
  <c r="Z21" i="2"/>
  <c r="AI32" i="2"/>
  <c r="T32" i="2"/>
  <c r="T21" i="2"/>
  <c r="X22" i="2"/>
  <c r="X31" i="2"/>
  <c r="S29" i="2"/>
  <c r="S15" i="2"/>
  <c r="W29" i="2"/>
  <c r="W15" i="2"/>
  <c r="C11" i="1"/>
  <c r="C8" i="1"/>
  <c r="C34" i="1" s="1"/>
  <c r="AM11" i="2" l="1"/>
  <c r="AM13" i="2"/>
  <c r="AM9" i="2"/>
  <c r="AM10" i="2" s="1"/>
  <c r="AN6" i="2"/>
  <c r="AN12" i="2" s="1"/>
  <c r="AK22" i="2"/>
  <c r="AL20" i="2"/>
  <c r="AL21" i="2" s="1"/>
  <c r="C12" i="1"/>
  <c r="Z22" i="2"/>
  <c r="Z31" i="2"/>
  <c r="T22" i="2"/>
  <c r="T31" i="2"/>
  <c r="S30" i="2"/>
  <c r="S19" i="2"/>
  <c r="W19" i="2"/>
  <c r="W30" i="2"/>
  <c r="AM14" i="2" l="1"/>
  <c r="AM15" i="2" s="1"/>
  <c r="AM19" i="2" s="1"/>
  <c r="AN11" i="2"/>
  <c r="AN9" i="2"/>
  <c r="AN10" i="2" s="1"/>
  <c r="AN13" i="2"/>
  <c r="AO6" i="2"/>
  <c r="AO12" i="2" s="1"/>
  <c r="AL22" i="2"/>
  <c r="AM20" i="2"/>
  <c r="AM21" i="2" s="1"/>
  <c r="AM22" i="2" s="1"/>
  <c r="S21" i="2"/>
  <c r="S32" i="2"/>
  <c r="W21" i="2"/>
  <c r="W32" i="2"/>
  <c r="AN14" i="2" l="1"/>
  <c r="AN15" i="2" s="1"/>
  <c r="AN19" i="2" s="1"/>
  <c r="AO9" i="2"/>
  <c r="AO10" i="2" s="1"/>
  <c r="AO13" i="2"/>
  <c r="AP6" i="2"/>
  <c r="AP12" i="2" s="1"/>
  <c r="AO11" i="2"/>
  <c r="AO14" i="2" s="1"/>
  <c r="AO15" i="2" s="1"/>
  <c r="AO19" i="2" s="1"/>
  <c r="AN20" i="2"/>
  <c r="AN21" i="2" s="1"/>
  <c r="AN22" i="2" s="1"/>
  <c r="S22" i="2"/>
  <c r="V80" i="2" s="1"/>
  <c r="S31" i="2"/>
  <c r="W31" i="2"/>
  <c r="AP9" i="2" l="1"/>
  <c r="AP10" i="2" s="1"/>
  <c r="AP11" i="2"/>
  <c r="AP13" i="2"/>
  <c r="AQ6" i="2"/>
  <c r="AQ12" i="2" s="1"/>
  <c r="AO20" i="2"/>
  <c r="AO21" i="2" s="1"/>
  <c r="AP14" i="2" l="1"/>
  <c r="AP15" i="2" s="1"/>
  <c r="AP19" i="2" s="1"/>
  <c r="AP20" i="2" s="1"/>
  <c r="AP21" i="2" s="1"/>
  <c r="AP22" i="2" s="1"/>
  <c r="AQ9" i="2"/>
  <c r="AQ10" i="2" s="1"/>
  <c r="AQ11" i="2"/>
  <c r="AQ13" i="2"/>
  <c r="AR6" i="2"/>
  <c r="AR12" i="2" s="1"/>
  <c r="AO22" i="2"/>
  <c r="AQ14" i="2" l="1"/>
  <c r="AQ15" i="2" s="1"/>
  <c r="AQ19" i="2" s="1"/>
  <c r="AQ20" i="2" s="1"/>
  <c r="AQ21" i="2" s="1"/>
  <c r="AR9" i="2"/>
  <c r="AR10" i="2" s="1"/>
  <c r="AR11" i="2"/>
  <c r="AR13" i="2"/>
  <c r="AR14" i="2" l="1"/>
  <c r="AR15" i="2" s="1"/>
  <c r="AR19" i="2" s="1"/>
  <c r="AR20" i="2" s="1"/>
  <c r="AR21" i="2" s="1"/>
  <c r="AR22" i="2" s="1"/>
  <c r="AQ22" i="2"/>
  <c r="AS21" i="2" l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AU24" i="2" s="1"/>
  <c r="AU26" i="2" s="1"/>
  <c r="AU27" i="2" s="1"/>
  <c r="AU29" i="2" s="1"/>
</calcChain>
</file>

<file path=xl/sharedStrings.xml><?xml version="1.0" encoding="utf-8"?>
<sst xmlns="http://schemas.openxmlformats.org/spreadsheetml/2006/main" count="179" uniqueCount="156">
  <si>
    <t>$MDB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</si>
  <si>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</si>
  <si>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</si>
  <si>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</si>
  <si>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</si>
  <si>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</si>
  <si>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</si>
  <si>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</si>
  <si>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</si>
  <si>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</si>
  <si>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</si>
  <si>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</si>
  <si>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</si>
  <si>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MongoDB, Inc.</t>
  </si>
  <si>
    <t>Profile</t>
  </si>
  <si>
    <t>HQ</t>
  </si>
  <si>
    <t>Founded</t>
  </si>
  <si>
    <t>Update</t>
  </si>
  <si>
    <t>IR</t>
  </si>
  <si>
    <t>Key Metrics</t>
  </si>
  <si>
    <t>P/E</t>
  </si>
  <si>
    <t>P/B</t>
  </si>
  <si>
    <t>P/S</t>
  </si>
  <si>
    <t>EV/S</t>
  </si>
  <si>
    <t>EV/E</t>
  </si>
  <si>
    <t>Key Events</t>
  </si>
  <si>
    <t>Source-Available NoSQL database software</t>
  </si>
  <si>
    <t>Dev Ittycheria</t>
  </si>
  <si>
    <t>Director</t>
  </si>
  <si>
    <t>Co-Found</t>
  </si>
  <si>
    <t>Dwight Merriman</t>
  </si>
  <si>
    <t>Michael Gordon</t>
  </si>
  <si>
    <t>CTO</t>
  </si>
  <si>
    <t>Mark Porter</t>
  </si>
  <si>
    <t>Products</t>
  </si>
  <si>
    <t>AWS Collaboration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</si>
  <si>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</si>
  <si>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</si>
  <si>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</si>
  <si>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</si>
  <si>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</si>
  <si>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</si>
  <si>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</si>
  <si>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</si>
  <si>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</si>
  <si>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</si>
  <si>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</si>
  <si>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</si>
  <si>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</si>
  <si>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</si>
  <si>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</si>
  <si>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</si>
  <si>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</si>
  <si>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</si>
  <si>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</si>
  <si>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</si>
  <si>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</si>
  <si>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</si>
  <si>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</si>
  <si>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</si>
  <si>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</si>
  <si>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</si>
  <si>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</si>
  <si>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</si>
  <si>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</si>
  <si>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</si>
  <si>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</si>
  <si>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</si>
  <si>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</si>
  <si>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</si>
  <si>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</si>
  <si>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FQ323</t>
  </si>
  <si>
    <t>IPO</t>
  </si>
  <si>
    <t>In 2013 MongoDB, Inc. was revealed to have received funding through CIA-sponsered In-Q-Tel which has been</t>
  </si>
  <si>
    <t>a concern for foreign nations, such as India</t>
  </si>
  <si>
    <t>FQ123</t>
  </si>
  <si>
    <t>Revenue</t>
  </si>
  <si>
    <t>COGS</t>
  </si>
  <si>
    <t>Subscription COGS</t>
  </si>
  <si>
    <t>Services COGS</t>
  </si>
  <si>
    <t>Subscription Revenue</t>
  </si>
  <si>
    <t>Services Revenue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</si>
  <si>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</si>
  <si>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</si>
  <si>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</si>
  <si>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</si>
  <si>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</si>
  <si>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</si>
  <si>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</si>
  <si>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FQ223</t>
  </si>
  <si>
    <t>FQ423</t>
  </si>
  <si>
    <t>Sales &amp; Marketing</t>
  </si>
  <si>
    <t>R&amp;D</t>
  </si>
  <si>
    <t>G&amp;A</t>
  </si>
  <si>
    <t>Total Operating Expenses</t>
  </si>
  <si>
    <t>Operating Income</t>
  </si>
  <si>
    <t>Interest Income</t>
  </si>
  <si>
    <t>Interest Expense</t>
  </si>
  <si>
    <t>Other Income, Net</t>
  </si>
  <si>
    <t>Pretax Income</t>
  </si>
  <si>
    <t>Taxes</t>
  </si>
  <si>
    <t>Net Income</t>
  </si>
  <si>
    <t>EPS</t>
  </si>
  <si>
    <t>Balance Sheet</t>
  </si>
  <si>
    <t>Short-Term Investments</t>
  </si>
  <si>
    <t>A/R</t>
  </si>
  <si>
    <t>Deferred Commission</t>
  </si>
  <si>
    <t>Prepaid Expenses &amp; OCA</t>
  </si>
  <si>
    <t>TCA</t>
  </si>
  <si>
    <t>PP&amp;E</t>
  </si>
  <si>
    <t>Operating Lease ROU</t>
  </si>
  <si>
    <t>Goodwill+Intangibles</t>
  </si>
  <si>
    <t>Deferred Taxes</t>
  </si>
  <si>
    <t>Other Assets</t>
  </si>
  <si>
    <t>Assets</t>
  </si>
  <si>
    <t>A/P</t>
  </si>
  <si>
    <t>Accrued Compensation &amp; Benefits</t>
  </si>
  <si>
    <t>Operating Lease Liabiltiies</t>
  </si>
  <si>
    <t>Other Accrued Liabilities</t>
  </si>
  <si>
    <t>Deferred Revenue</t>
  </si>
  <si>
    <t>TCL</t>
  </si>
  <si>
    <t>Convertible Senior Notes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</si>
  <si>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</si>
  <si>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</si>
  <si>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</si>
  <si>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</si>
  <si>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</si>
  <si>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</si>
  <si>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</si>
  <si>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ROCE</t>
  </si>
  <si>
    <t>Link</t>
  </si>
  <si>
    <t>Competition</t>
  </si>
  <si>
    <t>Microsoft SQL Server</t>
  </si>
  <si>
    <t>MySQL</t>
  </si>
  <si>
    <t>PostgreSQL</t>
  </si>
  <si>
    <t>SQLite</t>
  </si>
  <si>
    <t>Open Source</t>
  </si>
  <si>
    <t>Open Source/Oracle</t>
  </si>
  <si>
    <t>MariaDB</t>
  </si>
  <si>
    <t>Open Source Fork</t>
  </si>
  <si>
    <t>Relational DB Software</t>
  </si>
  <si>
    <t>New York City, NY</t>
  </si>
  <si>
    <t>-</t>
  </si>
  <si>
    <t>(Projected)</t>
  </si>
  <si>
    <t>f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</si>
  <si>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</si>
  <si>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</si>
  <si>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</si>
  <si>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</si>
  <si>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</si>
  <si>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</si>
  <si>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</si>
  <si>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Cashflow Statement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</si>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</sst>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1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164" fontId="1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164" fontId="5" fillId="0" borderId="0" xfId="0" applyNumberFormat="1" applyFont="1"/>
    <xf numFmtId="0" fontId="7" fillId="0" borderId="0" xfId="1" applyFont="1" applyAlignment="1">
      <alignment horizontal="right"/>
    </xf>
    <xf numFmtId="4" fontId="1" fillId="0" borderId="0" xfId="0" applyNumberFormat="1" applyFont="1"/>
    <xf numFmtId="0" fontId="8" fillId="0" borderId="0" xfId="0" applyFont="1"/>
    <xf numFmtId="0" fontId="5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0" fontId="1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1"/>
    </xf>
    <xf numFmtId="0" fontId="5" fillId="4" borderId="0" xfId="0" applyFont="1" applyFill="1" applyAlignment="1">
      <alignment horizontal="left" indent="2"/>
    </xf>
    <xf numFmtId="16" fontId="3" fillId="0" borderId="0" xfId="0" applyNumberFormat="1" applyFont="1" applyAlignment="1">
      <alignment horizontal="right"/>
    </xf>
    <xf numFmtId="167" fontId="1" fillId="0" borderId="0" xfId="0" applyNumberFormat="1" applyFont="1"/>
    <xf numFmtId="166" fontId="1" fillId="0" borderId="0" xfId="0" applyNumberFormat="1" applyFont="1" applyAlignment="1">
      <alignment horizontal="right"/>
    </xf>
    <xf numFmtId="0" fontId="5" fillId="6" borderId="0" xfId="0" applyFont="1" applyFill="1"/>
    <xf numFmtId="0" fontId="9" fillId="6" borderId="0" xfId="0" applyFont="1" applyFill="1" applyAlignment="1">
      <alignment horizontal="right"/>
    </xf>
    <xf numFmtId="0" fontId="10" fillId="6" borderId="0" xfId="0" applyFont="1" applyFill="1" applyAlignment="1">
      <alignment horizontal="right"/>
    </xf>
    <xf numFmtId="164" fontId="10" fillId="6" borderId="0" xfId="0" applyNumberFormat="1" applyFont="1" applyFill="1"/>
    <xf numFmtId="0" fontId="10" fillId="6" borderId="0" xfId="0" applyFont="1" applyFill="1"/>
    <xf numFmtId="164" fontId="5" fillId="6" borderId="0" xfId="0" applyNumberFormat="1" applyFont="1" applyFill="1"/>
    <xf numFmtId="4" fontId="5" fillId="6" borderId="0" xfId="0" applyNumberFormat="1" applyFont="1" applyFill="1"/>
    <xf numFmtId="9" fontId="5" fillId="6" borderId="0" xfId="0" applyNumberFormat="1" applyFont="1" applyFill="1"/>
    <xf numFmtId="165" fontId="5" fillId="6" borderId="0" xfId="0" applyNumberFormat="1" applyFont="1" applyFill="1"/>
    <xf numFmtId="164" fontId="10" fillId="6" borderId="0" xfId="0" applyNumberFormat="1" applyFont="1" applyFill="1" applyAlignment="1">
      <alignment horizontal="right"/>
    </xf>
    <xf numFmtId="164" fontId="9" fillId="6" borderId="0" xfId="0" applyNumberFormat="1" applyFont="1" applyFill="1" applyAlignment="1">
      <alignment horizontal="right"/>
    </xf>
    <xf numFmtId="9" fontId="10" fillId="6" borderId="0" xfId="0" applyNumberFormat="1" applyFont="1" applyFill="1"/>
    <xf numFmtId="4" fontId="1" fillId="3" borderId="1" xfId="0" applyNumberFormat="1" applyFont="1" applyFill="1" applyBorder="1"/>
    <xf numFmtId="164" fontId="1" fillId="3" borderId="4" xfId="0" applyNumberFormat="1" applyFont="1" applyFill="1" applyBorder="1"/>
    <xf numFmtId="164" fontId="1" fillId="0" borderId="5" xfId="0" applyNumberFormat="1" applyFont="1" applyBorder="1"/>
    <xf numFmtId="0" fontId="1" fillId="3" borderId="4" xfId="0" applyFont="1" applyFill="1" applyBorder="1"/>
    <xf numFmtId="0" fontId="1" fillId="0" borderId="5" xfId="0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2" fontId="2" fillId="0" borderId="5" xfId="0" applyNumberFormat="1" applyFont="1" applyBorder="1"/>
    <xf numFmtId="0" fontId="2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0</xdr:row>
      <xdr:rowOff>114300</xdr:rowOff>
    </xdr:from>
    <xdr:to>
      <xdr:col>5</xdr:col>
      <xdr:colOff>221911</xdr:colOff>
      <xdr:row>3</xdr:row>
      <xdr:rowOff>38100</xdr:rowOff>
    </xdr:to>
    <xdr:pic>
      <xdr:nvPicPr>
        <xdr:cNvPr id="2" name="Picture 1" descr="webassets.mongodb.com/_com_assets/cms/mongodb_l...">
          <a:extLst>
            <a:ext uri="{FF2B5EF4-FFF2-40B4-BE49-F238E27FC236}">
              <a16:creationId xmlns:a16="http://schemas.microsoft.com/office/drawing/2014/main" id="{282B382D-258B-4C28-8CEF-157EE2BA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14300"/>
          <a:ext cx="15077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25</xdr:col>
      <xdr:colOff>0</xdr:colOff>
      <xdr:row>105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38A8F7-E425-4B32-9431-AC4CC1F21B15}"/>
            </a:ext>
          </a:extLst>
        </xdr:cNvPr>
        <xdr:cNvCxnSpPr/>
      </xdr:nvCxnSpPr>
      <xdr:spPr>
        <a:xfrm>
          <a:off x="16373475" y="0"/>
          <a:ext cx="0" cy="17106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0</xdr:row>
      <xdr:rowOff>0</xdr:rowOff>
    </xdr:from>
    <xdr:to>
      <xdr:col>34</xdr:col>
      <xdr:colOff>9525</xdr:colOff>
      <xdr:row>104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E59225-2260-40BB-8240-59ADFAA9D236}"/>
            </a:ext>
          </a:extLst>
        </xdr:cNvPr>
        <xdr:cNvCxnSpPr/>
      </xdr:nvCxnSpPr>
      <xdr:spPr>
        <a:xfrm>
          <a:off x="21869400" y="0"/>
          <a:ext cx="0" cy="169735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mongodb.com/financial-information/sec-filings?field_nir_sec_form_group_target_id%5B%5D=496&amp;field_nir_sec_date_filed_value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mongodb.com/node/10526/html" TargetMode="External"/><Relationship Id="rId2" Type="http://schemas.openxmlformats.org/officeDocument/2006/relationships/hyperlink" Target="https://investors.mongodb.com/static-files/9fa5e495-3da6-441e-9ab3-c58421e0cc37" TargetMode="External"/><Relationship Id="rId1" Type="http://schemas.openxmlformats.org/officeDocument/2006/relationships/hyperlink" Target="https://investors.mongodb.com/node/9541/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vestors.mongodb.com/node/9441/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B16A-4CA6-4CC0-B1CB-A0561C46DE09}">
  <dimension ref="A2:AB38"/>
  <sheetViews>
    <sheetView workbookViewId="0">
      <selection activeCell="W19" sqref="W19"/>
    </sheetView>
  </sheetViews>
  <sheetFormatPr defaultRowHeight="12.75" x14ac:dyDescent="0.2"/>
  <cols>
    <col min="1" max="16384" width="9.140625" style="1"/>
  </cols>
  <sheetData>
    <row r="2" spans="1:28" x14ac:dyDescent="0.2">
      <c r="B2" s="2" t="s">
        <v>0</v>
      </c>
      <c r="G2" s="20" t="s">
        <v>26</v>
      </c>
      <c r="H2" s="20"/>
      <c r="I2" s="20"/>
      <c r="J2" s="20"/>
    </row>
    <row r="3" spans="1:28" ht="12.75" customHeight="1" x14ac:dyDescent="0.25">
      <c r="B3" s="2" t="s">
        <v>13</v>
      </c>
      <c r="G3"/>
    </row>
    <row r="5" spans="1:28" x14ac:dyDescent="0.2">
      <c r="B5" s="76" t="s">
        <v>1</v>
      </c>
      <c r="C5" s="77"/>
      <c r="D5" s="78"/>
      <c r="G5" s="76" t="s">
        <v>25</v>
      </c>
      <c r="H5" s="77"/>
      <c r="I5" s="77"/>
      <c r="J5" s="77"/>
      <c r="K5" s="77"/>
      <c r="L5" s="77"/>
      <c r="M5" s="77"/>
      <c r="N5" s="77"/>
      <c r="O5" s="77"/>
      <c r="P5" s="77"/>
      <c r="Q5" s="78"/>
      <c r="T5" s="71" t="s">
        <v>34</v>
      </c>
      <c r="U5" s="71"/>
      <c r="V5" s="71"/>
      <c r="W5" s="71"/>
      <c r="Z5" s="71" t="s">
        <v>131</v>
      </c>
      <c r="AA5" s="71"/>
      <c r="AB5" s="71"/>
    </row>
    <row r="6" spans="1:28" x14ac:dyDescent="0.2">
      <c r="B6" s="3" t="s">
        <v>2</v>
      </c>
      <c r="C6" s="4">
        <v>191.75</v>
      </c>
      <c r="D6" s="10"/>
      <c r="G6" s="14"/>
      <c r="H6" s="16"/>
      <c r="I6" s="16"/>
      <c r="J6" s="16"/>
      <c r="K6" s="16"/>
      <c r="L6" s="16"/>
      <c r="M6" s="16"/>
      <c r="N6" s="16"/>
      <c r="O6" s="16"/>
      <c r="P6" s="16"/>
      <c r="Q6" s="17"/>
      <c r="T6" s="6"/>
      <c r="U6" s="6"/>
      <c r="V6" s="6"/>
      <c r="W6" s="6"/>
      <c r="Z6" s="22" t="s">
        <v>140</v>
      </c>
      <c r="AA6" s="6"/>
      <c r="AB6" s="6"/>
    </row>
    <row r="7" spans="1:28" x14ac:dyDescent="0.2">
      <c r="B7" s="3" t="s">
        <v>3</v>
      </c>
      <c r="C7" s="12">
        <f>'Financial Model'!Y23</f>
        <v>68.916813000000005</v>
      </c>
      <c r="D7" s="10" t="str">
        <f>$C$28</f>
        <v>FQ323</v>
      </c>
      <c r="G7" s="14"/>
      <c r="H7" s="16"/>
      <c r="I7" s="16"/>
      <c r="J7" s="16"/>
      <c r="K7" s="16"/>
      <c r="L7" s="16"/>
      <c r="M7" s="16"/>
      <c r="N7" s="16"/>
      <c r="O7" s="16"/>
      <c r="P7" s="16"/>
      <c r="Q7" s="17"/>
      <c r="T7" s="6"/>
      <c r="U7" s="6"/>
      <c r="V7" s="6"/>
      <c r="W7" s="6"/>
      <c r="Z7" s="43" t="s">
        <v>134</v>
      </c>
      <c r="AA7" s="43"/>
      <c r="AB7" s="6"/>
    </row>
    <row r="8" spans="1:28" x14ac:dyDescent="0.2">
      <c r="B8" s="3" t="s">
        <v>4</v>
      </c>
      <c r="C8" s="12">
        <f>C6*C7</f>
        <v>13214.798892750001</v>
      </c>
      <c r="D8" s="10"/>
      <c r="G8" s="14"/>
      <c r="H8" s="16"/>
      <c r="I8" s="16"/>
      <c r="J8" s="16"/>
      <c r="K8" s="16"/>
      <c r="L8" s="16"/>
      <c r="M8" s="16"/>
      <c r="N8" s="16"/>
      <c r="O8" s="16"/>
      <c r="P8" s="16"/>
      <c r="Q8" s="17"/>
      <c r="T8" s="22" t="s">
        <v>35</v>
      </c>
      <c r="U8" s="6"/>
      <c r="V8" s="6"/>
      <c r="W8" s="6"/>
      <c r="Z8" s="43" t="s">
        <v>133</v>
      </c>
      <c r="AA8" s="44" t="s">
        <v>137</v>
      </c>
      <c r="AB8" s="6"/>
    </row>
    <row r="9" spans="1:28" x14ac:dyDescent="0.2">
      <c r="B9" s="3" t="s">
        <v>5</v>
      </c>
      <c r="C9" s="12">
        <f>'Financial Model'!Y69</f>
        <v>1787.5319999999999</v>
      </c>
      <c r="D9" s="10" t="str">
        <f t="shared" ref="D9:D11" si="0">$C$28</f>
        <v>FQ323</v>
      </c>
      <c r="G9" s="14"/>
      <c r="H9" s="16"/>
      <c r="I9" s="16"/>
      <c r="J9" s="16"/>
      <c r="K9" s="16"/>
      <c r="L9" s="16"/>
      <c r="M9" s="16"/>
      <c r="N9" s="16"/>
      <c r="O9" s="16"/>
      <c r="P9" s="16"/>
      <c r="Q9" s="17"/>
      <c r="T9" s="6"/>
      <c r="U9" s="6"/>
      <c r="V9" s="6"/>
      <c r="W9" s="6"/>
      <c r="Z9" s="44" t="s">
        <v>138</v>
      </c>
      <c r="AA9" s="45" t="s">
        <v>139</v>
      </c>
      <c r="AB9" s="6"/>
    </row>
    <row r="10" spans="1:28" x14ac:dyDescent="0.2">
      <c r="B10" s="3" t="s">
        <v>6</v>
      </c>
      <c r="C10" s="12">
        <f>'Financial Model'!Y70</f>
        <v>1139.0419999999999</v>
      </c>
      <c r="D10" s="10" t="str">
        <f t="shared" si="0"/>
        <v>FQ323</v>
      </c>
      <c r="G10" s="14"/>
      <c r="H10" s="16"/>
      <c r="I10" s="16"/>
      <c r="J10" s="16"/>
      <c r="K10" s="16"/>
      <c r="L10" s="16"/>
      <c r="M10" s="16"/>
      <c r="N10" s="16"/>
      <c r="O10" s="16"/>
      <c r="P10" s="16"/>
      <c r="Q10" s="17"/>
      <c r="T10" s="6"/>
      <c r="U10" s="6"/>
      <c r="V10" s="6"/>
      <c r="W10" s="6"/>
      <c r="Z10" s="43" t="s">
        <v>135</v>
      </c>
      <c r="AA10" s="44" t="s">
        <v>136</v>
      </c>
      <c r="AB10" s="6"/>
    </row>
    <row r="11" spans="1:28" x14ac:dyDescent="0.2">
      <c r="B11" s="3" t="s">
        <v>7</v>
      </c>
      <c r="C11" s="12">
        <f>C9-C10</f>
        <v>648.49</v>
      </c>
      <c r="D11" s="10" t="str">
        <f t="shared" si="0"/>
        <v>FQ323</v>
      </c>
      <c r="G11" s="14"/>
      <c r="H11" s="16"/>
      <c r="I11" s="16"/>
      <c r="J11" s="16"/>
      <c r="K11" s="16"/>
      <c r="L11" s="16"/>
      <c r="M11" s="16"/>
      <c r="N11" s="16"/>
      <c r="O11" s="16"/>
      <c r="P11" s="16"/>
      <c r="Q11" s="17"/>
      <c r="T11" s="6"/>
      <c r="U11" s="6"/>
      <c r="V11" s="6"/>
      <c r="W11" s="6"/>
      <c r="Z11" s="43" t="s">
        <v>132</v>
      </c>
      <c r="AA11" s="43"/>
      <c r="AB11" s="6"/>
    </row>
    <row r="12" spans="1:28" x14ac:dyDescent="0.2">
      <c r="B12" s="5" t="s">
        <v>8</v>
      </c>
      <c r="C12" s="13">
        <f>C8-C11</f>
        <v>12566.308892750001</v>
      </c>
      <c r="D12" s="11"/>
      <c r="G12" s="14"/>
      <c r="H12" s="16"/>
      <c r="I12" s="16"/>
      <c r="J12" s="16"/>
      <c r="K12" s="16"/>
      <c r="L12" s="16"/>
      <c r="M12" s="16"/>
      <c r="N12" s="16"/>
      <c r="O12" s="16"/>
      <c r="P12" s="16"/>
      <c r="Q12" s="17"/>
      <c r="T12" s="6"/>
      <c r="U12" s="6"/>
      <c r="V12" s="6"/>
      <c r="W12" s="6"/>
      <c r="Z12" s="6"/>
      <c r="AA12" s="6"/>
      <c r="AB12" s="6"/>
    </row>
    <row r="13" spans="1:28" x14ac:dyDescent="0.2"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7"/>
      <c r="T13" s="6"/>
      <c r="U13" s="6"/>
      <c r="V13" s="6"/>
      <c r="W13" s="6"/>
      <c r="Z13" s="6"/>
      <c r="AA13" s="6"/>
      <c r="AB13" s="6"/>
    </row>
    <row r="14" spans="1:28" x14ac:dyDescent="0.2">
      <c r="G14" s="14"/>
      <c r="H14" s="16"/>
      <c r="I14" s="16"/>
      <c r="J14" s="16"/>
      <c r="K14" s="16"/>
      <c r="L14" s="16"/>
      <c r="M14" s="16"/>
      <c r="N14" s="16"/>
      <c r="O14" s="16"/>
      <c r="P14" s="16"/>
      <c r="Q14" s="17"/>
      <c r="T14" s="6"/>
      <c r="U14" s="6"/>
      <c r="V14" s="6"/>
      <c r="W14" s="6"/>
      <c r="Z14" s="6"/>
      <c r="AA14" s="6"/>
      <c r="AB14" s="6"/>
    </row>
    <row r="15" spans="1:28" x14ac:dyDescent="0.2">
      <c r="B15" s="76" t="s">
        <v>9</v>
      </c>
      <c r="C15" s="77"/>
      <c r="D15" s="78"/>
      <c r="G15" s="14"/>
      <c r="H15" s="16"/>
      <c r="I15" s="16"/>
      <c r="J15" s="16"/>
      <c r="K15" s="16"/>
      <c r="L15" s="16"/>
      <c r="M15" s="16"/>
      <c r="N15" s="16"/>
      <c r="O15" s="16"/>
      <c r="P15" s="16"/>
      <c r="Q15" s="17"/>
      <c r="T15" s="6"/>
      <c r="U15" s="6"/>
      <c r="V15" s="6"/>
      <c r="W15" s="6"/>
      <c r="Z15" s="6"/>
      <c r="AA15" s="6"/>
      <c r="AB15" s="6"/>
    </row>
    <row r="16" spans="1:28" x14ac:dyDescent="0.2">
      <c r="A16" s="21"/>
      <c r="B16" s="7" t="s">
        <v>10</v>
      </c>
      <c r="C16" s="72" t="s">
        <v>27</v>
      </c>
      <c r="D16" s="73"/>
      <c r="G16" s="14"/>
      <c r="H16" s="16"/>
      <c r="I16" s="16"/>
      <c r="J16" s="16"/>
      <c r="K16" s="16"/>
      <c r="L16" s="16"/>
      <c r="M16" s="16"/>
      <c r="N16" s="16"/>
      <c r="O16" s="16"/>
      <c r="P16" s="16"/>
      <c r="Q16" s="17"/>
      <c r="T16" s="6"/>
      <c r="U16" s="6"/>
      <c r="V16" s="6"/>
      <c r="W16" s="6"/>
      <c r="Z16" s="6"/>
      <c r="AA16" s="6"/>
      <c r="AB16" s="6"/>
    </row>
    <row r="17" spans="1:28" x14ac:dyDescent="0.2">
      <c r="A17" s="21" t="s">
        <v>12</v>
      </c>
      <c r="B17" s="7" t="s">
        <v>11</v>
      </c>
      <c r="C17" s="72" t="s">
        <v>31</v>
      </c>
      <c r="D17" s="73"/>
      <c r="G17" s="14"/>
      <c r="H17" s="16"/>
      <c r="I17" s="16"/>
      <c r="J17" s="16"/>
      <c r="K17" s="16"/>
      <c r="L17" s="16"/>
      <c r="M17" s="16"/>
      <c r="N17" s="16"/>
      <c r="O17" s="16"/>
      <c r="P17" s="16"/>
      <c r="Q17" s="17"/>
      <c r="T17" s="6"/>
      <c r="U17" s="6"/>
      <c r="V17" s="6"/>
      <c r="W17" s="6"/>
      <c r="Z17" s="6"/>
      <c r="AA17" s="6"/>
      <c r="AB17" s="6"/>
    </row>
    <row r="18" spans="1:28" x14ac:dyDescent="0.2">
      <c r="A18" s="21"/>
      <c r="B18" s="7" t="s">
        <v>32</v>
      </c>
      <c r="C18" s="72" t="s">
        <v>33</v>
      </c>
      <c r="D18" s="73"/>
      <c r="G18" s="14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28" x14ac:dyDescent="0.2">
      <c r="A19" s="21" t="s">
        <v>29</v>
      </c>
      <c r="B19" s="9" t="s">
        <v>28</v>
      </c>
      <c r="C19" s="79" t="s">
        <v>30</v>
      </c>
      <c r="D19" s="80"/>
      <c r="G19" s="14"/>
      <c r="H19" s="16"/>
      <c r="I19" s="16"/>
      <c r="J19" s="16"/>
      <c r="K19" s="16"/>
      <c r="L19" s="16"/>
      <c r="M19" s="16"/>
      <c r="N19" s="16"/>
      <c r="O19" s="16"/>
      <c r="P19" s="16"/>
      <c r="Q19" s="17"/>
      <c r="Y19" s="1" t="s">
        <v>144</v>
      </c>
    </row>
    <row r="20" spans="1:28" x14ac:dyDescent="0.2">
      <c r="G20" s="14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28" x14ac:dyDescent="0.2">
      <c r="G21" s="14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28" x14ac:dyDescent="0.2">
      <c r="B22" s="76" t="s">
        <v>14</v>
      </c>
      <c r="C22" s="77"/>
      <c r="D22" s="78"/>
      <c r="G22" s="14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28" x14ac:dyDescent="0.2">
      <c r="B23" s="14" t="s">
        <v>15</v>
      </c>
      <c r="C23" s="72" t="s">
        <v>141</v>
      </c>
      <c r="D23" s="73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28" x14ac:dyDescent="0.2">
      <c r="B24" s="14" t="s">
        <v>16</v>
      </c>
      <c r="C24" s="72">
        <v>2007</v>
      </c>
      <c r="D24" s="73"/>
      <c r="G24" s="14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28" x14ac:dyDescent="0.2">
      <c r="B25" s="14" t="s">
        <v>72</v>
      </c>
      <c r="C25" s="72">
        <v>2017</v>
      </c>
      <c r="D25" s="73"/>
      <c r="G25" s="14"/>
      <c r="H25" s="16"/>
      <c r="I25" s="16"/>
      <c r="J25" s="16"/>
      <c r="K25" s="16"/>
      <c r="L25" s="16"/>
      <c r="M25" s="16"/>
      <c r="N25" s="16"/>
      <c r="O25" s="16"/>
      <c r="P25" s="16"/>
      <c r="Q25" s="17"/>
    </row>
    <row r="26" spans="1:28" x14ac:dyDescent="0.2">
      <c r="B26" s="14"/>
      <c r="C26" s="72"/>
      <c r="D26" s="73"/>
      <c r="G26" s="14"/>
      <c r="H26" s="16"/>
      <c r="I26" s="16"/>
      <c r="J26" s="16"/>
      <c r="K26" s="16"/>
      <c r="L26" s="16"/>
      <c r="M26" s="16"/>
      <c r="N26" s="16"/>
      <c r="O26" s="16"/>
      <c r="P26" s="16"/>
      <c r="Q26" s="17"/>
    </row>
    <row r="27" spans="1:28" x14ac:dyDescent="0.2">
      <c r="B27" s="14"/>
      <c r="C27" s="72"/>
      <c r="D27" s="73"/>
      <c r="G27" s="14"/>
      <c r="H27" s="16"/>
      <c r="I27" s="16"/>
      <c r="J27" s="16"/>
      <c r="K27" s="16"/>
      <c r="L27" s="16"/>
      <c r="M27" s="16"/>
      <c r="N27" s="16"/>
      <c r="O27" s="16"/>
      <c r="P27" s="16"/>
      <c r="Q27" s="17"/>
    </row>
    <row r="28" spans="1:28" x14ac:dyDescent="0.2">
      <c r="B28" s="14" t="s">
        <v>17</v>
      </c>
      <c r="C28" s="8" t="s">
        <v>71</v>
      </c>
      <c r="D28" s="26">
        <v>44901</v>
      </c>
      <c r="G28" s="14"/>
      <c r="H28" s="16"/>
      <c r="I28" s="16"/>
      <c r="J28" s="16"/>
      <c r="K28" s="16"/>
      <c r="L28" s="16"/>
      <c r="M28" s="16"/>
      <c r="N28" s="16"/>
      <c r="O28" s="16"/>
      <c r="P28" s="16"/>
      <c r="Q28" s="17"/>
    </row>
    <row r="29" spans="1:28" x14ac:dyDescent="0.2">
      <c r="B29" s="15" t="s">
        <v>18</v>
      </c>
      <c r="C29" s="74" t="s">
        <v>130</v>
      </c>
      <c r="D29" s="75"/>
      <c r="G29" s="14"/>
      <c r="H29" s="16"/>
      <c r="I29" s="16"/>
      <c r="J29" s="16"/>
      <c r="K29" s="16"/>
      <c r="L29" s="16"/>
      <c r="M29" s="16"/>
      <c r="N29" s="16"/>
      <c r="O29" s="16"/>
      <c r="P29" s="16"/>
      <c r="Q29" s="17"/>
    </row>
    <row r="30" spans="1:28" x14ac:dyDescent="0.2">
      <c r="G30" s="14"/>
      <c r="H30" s="16"/>
      <c r="I30" s="16"/>
      <c r="J30" s="16"/>
      <c r="K30" s="16"/>
      <c r="L30" s="16"/>
      <c r="M30" s="16"/>
      <c r="N30" s="16"/>
      <c r="O30" s="16"/>
      <c r="P30" s="16"/>
      <c r="Q30" s="17"/>
    </row>
    <row r="31" spans="1:28" x14ac:dyDescent="0.2">
      <c r="G31" s="14"/>
      <c r="H31" s="16"/>
      <c r="I31" s="16"/>
      <c r="J31" s="16"/>
      <c r="K31" s="16"/>
      <c r="L31" s="16"/>
      <c r="M31" s="16"/>
      <c r="N31" s="16"/>
      <c r="O31" s="16"/>
      <c r="P31" s="16"/>
      <c r="Q31" s="17"/>
    </row>
    <row r="32" spans="1:28" x14ac:dyDescent="0.2">
      <c r="B32" s="76" t="s">
        <v>19</v>
      </c>
      <c r="C32" s="77"/>
      <c r="D32" s="78"/>
      <c r="G32" s="14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2:17" x14ac:dyDescent="0.2">
      <c r="B33" s="14" t="s">
        <v>21</v>
      </c>
      <c r="C33" s="81">
        <f>C6/'Financial Model'!Y67</f>
        <v>19.311919490429393</v>
      </c>
      <c r="D33" s="82"/>
      <c r="G33" s="14"/>
      <c r="H33" s="16"/>
      <c r="I33" s="16"/>
      <c r="J33" s="16"/>
      <c r="K33" s="16"/>
      <c r="L33" s="16"/>
      <c r="M33" s="16"/>
      <c r="N33" s="16"/>
      <c r="O33" s="16"/>
      <c r="P33" s="16"/>
      <c r="Q33" s="17"/>
    </row>
    <row r="34" spans="2:17" x14ac:dyDescent="0.2">
      <c r="B34" s="14" t="s">
        <v>22</v>
      </c>
      <c r="C34" s="81">
        <f>C8/SUM('Financial Model'!V6:Y6)</f>
        <v>11.112137929461445</v>
      </c>
      <c r="D34" s="82"/>
      <c r="G34" s="14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2:17" x14ac:dyDescent="0.2">
      <c r="B35" s="14" t="s">
        <v>23</v>
      </c>
      <c r="C35" s="72"/>
      <c r="D35" s="73"/>
      <c r="G35" s="14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spans="2:17" x14ac:dyDescent="0.2">
      <c r="B36" s="14" t="s">
        <v>20</v>
      </c>
      <c r="C36" s="72"/>
      <c r="D36" s="73"/>
      <c r="G36" s="14">
        <v>2013</v>
      </c>
      <c r="H36" s="16" t="s">
        <v>73</v>
      </c>
      <c r="I36" s="16"/>
      <c r="J36" s="16"/>
      <c r="K36" s="16"/>
      <c r="L36" s="16"/>
      <c r="M36" s="16"/>
      <c r="N36" s="16"/>
      <c r="O36" s="16"/>
      <c r="P36" s="16"/>
      <c r="Q36" s="17"/>
    </row>
    <row r="37" spans="2:17" x14ac:dyDescent="0.2">
      <c r="B37" s="14" t="s">
        <v>24</v>
      </c>
      <c r="C37" s="72"/>
      <c r="D37" s="73"/>
      <c r="G37" s="14"/>
      <c r="H37" s="27" t="s">
        <v>74</v>
      </c>
      <c r="I37" s="16"/>
      <c r="J37" s="16"/>
      <c r="K37" s="16"/>
      <c r="L37" s="16"/>
      <c r="M37" s="16"/>
      <c r="N37" s="16"/>
      <c r="O37" s="16"/>
      <c r="P37" s="16"/>
      <c r="Q37" s="17"/>
    </row>
    <row r="38" spans="2:17" x14ac:dyDescent="0.2">
      <c r="B38" s="14"/>
      <c r="C38" s="72"/>
      <c r="D38" s="73"/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9"/>
    </row>
  </sheetData>
  <mergeCells count="23">
    <mergeCell ref="C35:D35"/>
    <mergeCell ref="C36:D36"/>
    <mergeCell ref="C37:D37"/>
    <mergeCell ref="C38:D38"/>
    <mergeCell ref="G5:Q5"/>
    <mergeCell ref="C34:D34"/>
    <mergeCell ref="C33:D33"/>
    <mergeCell ref="B22:D22"/>
    <mergeCell ref="C23:D23"/>
    <mergeCell ref="C24:D24"/>
    <mergeCell ref="C25:D25"/>
    <mergeCell ref="C26:D26"/>
    <mergeCell ref="Z5:AB5"/>
    <mergeCell ref="T5:W5"/>
    <mergeCell ref="C27:D27"/>
    <mergeCell ref="C29:D29"/>
    <mergeCell ref="B32:D32"/>
    <mergeCell ref="B5:D5"/>
    <mergeCell ref="B15:D15"/>
    <mergeCell ref="C16:D16"/>
    <mergeCell ref="C17:D17"/>
    <mergeCell ref="C18:D18"/>
    <mergeCell ref="C19:D19"/>
  </mergeCells>
  <hyperlinks>
    <hyperlink ref="C29:D29" r:id="rId1" location="views-exposed-form-widget-sec-filings-table" display="Link" xr:uid="{8C8DCE07-3950-4AA9-A781-B1A96427FDB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013-A317-41E1-99F6-617E09116884}">
  <dimension ref="B1:CV90"/>
  <sheetViews>
    <sheetView tabSelected="1" workbookViewId="0">
      <pane xSplit="2" ySplit="3" topLeftCell="N64" activePane="bottomRight" state="frozen"/>
      <selection pane="topRight" activeCell="C1" sqref="C1"/>
      <selection pane="bottomLeft" activeCell="A4" sqref="A4"/>
      <selection pane="bottomRight" activeCell="AF99" sqref="AF99"/>
    </sheetView>
  </sheetViews>
  <sheetFormatPr defaultRowHeight="12.75" x14ac:dyDescent="0.2"/>
  <cols>
    <col min="1" max="1" width="5.140625" style="1" customWidth="1"/>
    <col min="2" max="2" width="30.140625" style="1" bestFit="1" customWidth="1"/>
    <col min="3" max="25" width="9.140625" style="1"/>
    <col min="26" max="26" width="9.140625" style="49"/>
    <col min="27" max="34" width="9.140625" style="1"/>
    <col min="35" max="35" width="9.140625" style="54"/>
    <col min="36" max="45" width="9.140625" style="1"/>
    <col min="46" max="46" width="17.5703125" style="1" bestFit="1" customWidth="1"/>
    <col min="47" max="16384" width="9.140625" style="1"/>
  </cols>
  <sheetData>
    <row r="1" spans="2:44" s="23" customFormat="1" x14ac:dyDescent="0.2"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35" t="s">
        <v>75</v>
      </c>
      <c r="X1" s="35" t="s">
        <v>89</v>
      </c>
      <c r="Y1" s="35" t="s">
        <v>71</v>
      </c>
      <c r="Z1" s="51" t="s">
        <v>90</v>
      </c>
      <c r="AD1" s="23" t="s">
        <v>56</v>
      </c>
      <c r="AE1" s="23" t="s">
        <v>57</v>
      </c>
      <c r="AF1" s="23" t="s">
        <v>58</v>
      </c>
      <c r="AG1" s="23" t="s">
        <v>59</v>
      </c>
      <c r="AH1" s="35" t="s">
        <v>60</v>
      </c>
      <c r="AI1" s="58" t="s">
        <v>61</v>
      </c>
      <c r="AJ1" s="23" t="s">
        <v>62</v>
      </c>
      <c r="AK1" s="23" t="s">
        <v>63</v>
      </c>
      <c r="AL1" s="23" t="s">
        <v>64</v>
      </c>
      <c r="AM1" s="23" t="s">
        <v>65</v>
      </c>
      <c r="AN1" s="23" t="s">
        <v>66</v>
      </c>
      <c r="AO1" s="23" t="s">
        <v>67</v>
      </c>
      <c r="AP1" s="23" t="s">
        <v>68</v>
      </c>
      <c r="AQ1" s="23" t="s">
        <v>69</v>
      </c>
      <c r="AR1" s="23" t="s">
        <v>70</v>
      </c>
    </row>
    <row r="2" spans="2:44" s="24" customFormat="1" x14ac:dyDescent="0.2">
      <c r="B2" s="25"/>
      <c r="R2" s="28">
        <v>44227</v>
      </c>
      <c r="S2" s="28">
        <v>44316</v>
      </c>
      <c r="T2" s="28">
        <v>44408</v>
      </c>
      <c r="U2" s="28">
        <v>44500</v>
      </c>
      <c r="V2" s="28">
        <v>44592</v>
      </c>
      <c r="W2" s="28">
        <v>44681</v>
      </c>
      <c r="X2" s="28">
        <v>44773</v>
      </c>
      <c r="Y2" s="28">
        <v>44865</v>
      </c>
      <c r="Z2" s="50" t="s">
        <v>143</v>
      </c>
      <c r="AG2" s="28">
        <v>44227</v>
      </c>
      <c r="AH2" s="28">
        <v>44592</v>
      </c>
      <c r="AI2" s="59" t="s">
        <v>143</v>
      </c>
    </row>
    <row r="3" spans="2:44" s="24" customFormat="1" x14ac:dyDescent="0.2">
      <c r="B3" s="25"/>
      <c r="Z3" s="50"/>
      <c r="AH3" s="46">
        <v>44638</v>
      </c>
      <c r="AI3" s="59"/>
    </row>
    <row r="4" spans="2:44" s="38" customFormat="1" x14ac:dyDescent="0.2">
      <c r="B4" s="29" t="s">
        <v>80</v>
      </c>
      <c r="R4" s="34">
        <f>AG4-SUM(O4:Q4)</f>
        <v>565.34900000000005</v>
      </c>
      <c r="S4" s="34">
        <v>174.57</v>
      </c>
      <c r="T4" s="38">
        <v>191.381</v>
      </c>
      <c r="U4" s="34">
        <v>217.87100000000001</v>
      </c>
      <c r="V4" s="34">
        <f>AH4-SUM(S4:U4)</f>
        <v>258.22500000000002</v>
      </c>
      <c r="W4" s="34">
        <v>274.58100000000002</v>
      </c>
      <c r="X4" s="42">
        <v>291.60700000000003</v>
      </c>
      <c r="Y4" s="34">
        <v>320.75599999999997</v>
      </c>
      <c r="Z4" s="49"/>
      <c r="AF4" s="38">
        <f>SUM(K4:N4)</f>
        <v>0</v>
      </c>
      <c r="AG4" s="38">
        <v>565.34900000000005</v>
      </c>
      <c r="AH4" s="34">
        <v>842.04700000000003</v>
      </c>
      <c r="AI4" s="54"/>
    </row>
    <row r="5" spans="2:44" s="38" customFormat="1" x14ac:dyDescent="0.2">
      <c r="B5" s="29" t="s">
        <v>81</v>
      </c>
      <c r="R5" s="34">
        <f>AG5-SUM(O5:Q5)</f>
        <v>25.030999999999999</v>
      </c>
      <c r="S5" s="34">
        <v>7.0780000000000003</v>
      </c>
      <c r="T5" s="38">
        <v>7.3659999999999997</v>
      </c>
      <c r="U5" s="34">
        <v>9.0220000000000002</v>
      </c>
      <c r="V5" s="34">
        <f>AH5-SUM(S5:U5)</f>
        <v>8.2689999999999984</v>
      </c>
      <c r="W5" s="34">
        <v>10.866</v>
      </c>
      <c r="X5" s="42">
        <v>12.053000000000001</v>
      </c>
      <c r="Y5" s="34">
        <v>12.865</v>
      </c>
      <c r="Z5" s="49"/>
      <c r="AF5" s="38">
        <f>SUM(K5:N5)</f>
        <v>0</v>
      </c>
      <c r="AG5" s="38">
        <v>25.030999999999999</v>
      </c>
      <c r="AH5" s="34">
        <v>31.734999999999999</v>
      </c>
      <c r="AI5" s="54"/>
    </row>
    <row r="6" spans="2:44" s="2" customFormat="1" x14ac:dyDescent="0.2">
      <c r="B6" s="2" t="s">
        <v>76</v>
      </c>
      <c r="R6" s="31">
        <f t="shared" ref="R6:Y6" si="0">R4+R5</f>
        <v>590.38</v>
      </c>
      <c r="S6" s="31">
        <f t="shared" si="0"/>
        <v>181.648</v>
      </c>
      <c r="T6" s="31">
        <f t="shared" si="0"/>
        <v>198.74700000000001</v>
      </c>
      <c r="U6" s="31">
        <f t="shared" si="0"/>
        <v>226.893</v>
      </c>
      <c r="V6" s="31">
        <f t="shared" si="0"/>
        <v>266.49400000000003</v>
      </c>
      <c r="W6" s="31">
        <f t="shared" si="0"/>
        <v>285.447</v>
      </c>
      <c r="X6" s="41">
        <f t="shared" si="0"/>
        <v>303.66000000000003</v>
      </c>
      <c r="Y6" s="31">
        <f t="shared" si="0"/>
        <v>333.62099999999998</v>
      </c>
      <c r="Z6" s="52">
        <f>Y6*(1+Z27)</f>
        <v>373.65552000000002</v>
      </c>
      <c r="AF6" s="41">
        <f>AF4+AF5</f>
        <v>0</v>
      </c>
      <c r="AG6" s="41">
        <f>AG4+AG5</f>
        <v>590.38</v>
      </c>
      <c r="AH6" s="41">
        <f>AH4+AH5</f>
        <v>873.78200000000004</v>
      </c>
      <c r="AI6" s="52">
        <f>SUM(W6:Z6)</f>
        <v>1296.3835199999999</v>
      </c>
      <c r="AJ6" s="31">
        <f>AI6*(1+AJ26)</f>
        <v>1944.5752799999998</v>
      </c>
      <c r="AK6" s="31">
        <f t="shared" ref="AK6:AR6" si="1">AJ6*(1+AK26)</f>
        <v>2916.8629199999996</v>
      </c>
      <c r="AL6" s="31">
        <f t="shared" si="1"/>
        <v>4083.608087999999</v>
      </c>
      <c r="AM6" s="31">
        <f t="shared" si="1"/>
        <v>5308.6905143999993</v>
      </c>
      <c r="AN6" s="31">
        <f t="shared" si="1"/>
        <v>6635.8631429999987</v>
      </c>
      <c r="AO6" s="31">
        <f t="shared" si="1"/>
        <v>7963.035771599998</v>
      </c>
      <c r="AP6" s="31">
        <f t="shared" si="1"/>
        <v>9157.4911373399973</v>
      </c>
      <c r="AQ6" s="31">
        <f t="shared" si="1"/>
        <v>10073.240251073998</v>
      </c>
      <c r="AR6" s="31">
        <f t="shared" si="1"/>
        <v>10576.902263627699</v>
      </c>
    </row>
    <row r="7" spans="2:44" s="38" customFormat="1" x14ac:dyDescent="0.2">
      <c r="B7" s="29" t="s">
        <v>78</v>
      </c>
      <c r="R7" s="34">
        <f t="shared" ref="R7:R8" si="2">AG7-SUM(O7:Q7)</f>
        <v>145.28</v>
      </c>
      <c r="S7" s="38">
        <v>45.402000000000001</v>
      </c>
      <c r="T7" s="38">
        <v>50.954999999999998</v>
      </c>
      <c r="U7" s="34">
        <v>57.378</v>
      </c>
      <c r="V7" s="34">
        <f t="shared" ref="V7:V8" si="3">AH7-SUM(S7:U7)</f>
        <v>64.165999999999997</v>
      </c>
      <c r="W7" s="38">
        <v>64.569000000000003</v>
      </c>
      <c r="X7" s="42">
        <v>71.435000000000002</v>
      </c>
      <c r="Y7" s="34">
        <v>77.150000000000006</v>
      </c>
      <c r="Z7" s="53"/>
      <c r="AG7" s="38">
        <v>145.28</v>
      </c>
      <c r="AH7" s="38">
        <v>217.90100000000001</v>
      </c>
      <c r="AI7" s="54"/>
    </row>
    <row r="8" spans="2:44" s="38" customFormat="1" x14ac:dyDescent="0.2">
      <c r="B8" s="29" t="s">
        <v>79</v>
      </c>
      <c r="R8" s="34">
        <f t="shared" si="2"/>
        <v>31.795999999999999</v>
      </c>
      <c r="S8" s="38">
        <v>9.1259999999999994</v>
      </c>
      <c r="T8" s="38">
        <v>9.7469999999999999</v>
      </c>
      <c r="U8" s="34">
        <v>11.086</v>
      </c>
      <c r="V8" s="34">
        <f t="shared" si="3"/>
        <v>11.632000000000005</v>
      </c>
      <c r="W8" s="38">
        <v>13.646000000000001</v>
      </c>
      <c r="X8" s="42">
        <v>16.841999999999999</v>
      </c>
      <c r="Y8" s="34">
        <v>16.501999999999999</v>
      </c>
      <c r="Z8" s="49"/>
      <c r="AG8" s="38">
        <v>31.795999999999999</v>
      </c>
      <c r="AH8" s="38">
        <v>41.591000000000001</v>
      </c>
      <c r="AI8" s="54"/>
    </row>
    <row r="9" spans="2:44" x14ac:dyDescent="0.2">
      <c r="B9" s="1" t="s">
        <v>77</v>
      </c>
      <c r="R9" s="30">
        <f t="shared" ref="R9" si="4">R7+R8</f>
        <v>177.07599999999999</v>
      </c>
      <c r="S9" s="1">
        <f>S7+S8</f>
        <v>54.527999999999999</v>
      </c>
      <c r="T9" s="1">
        <f t="shared" ref="T9:U9" si="5">T7+T8</f>
        <v>60.701999999999998</v>
      </c>
      <c r="U9" s="30">
        <f t="shared" si="5"/>
        <v>68.463999999999999</v>
      </c>
      <c r="V9" s="1">
        <f>V7+V8</f>
        <v>75.798000000000002</v>
      </c>
      <c r="W9" s="1">
        <f>W7+W8</f>
        <v>78.215000000000003</v>
      </c>
      <c r="X9" s="39">
        <f t="shared" ref="X9:Y9" si="6">X7+X8</f>
        <v>88.277000000000001</v>
      </c>
      <c r="Y9" s="30">
        <f t="shared" si="6"/>
        <v>93.652000000000001</v>
      </c>
      <c r="Z9" s="57">
        <f>Z6*(1-Z29)</f>
        <v>104.62354560000001</v>
      </c>
      <c r="AG9" s="30">
        <f t="shared" ref="AG9:AH9" si="7">AG7+AG8</f>
        <v>177.07599999999999</v>
      </c>
      <c r="AH9" s="30">
        <f t="shared" si="7"/>
        <v>259.49200000000002</v>
      </c>
      <c r="AI9" s="54">
        <f>SUM(W9:Z9)</f>
        <v>364.76754560000001</v>
      </c>
      <c r="AJ9" s="30">
        <f>AJ6*(1-AJ29)</f>
        <v>544.4810784</v>
      </c>
      <c r="AK9" s="30">
        <f t="shared" ref="AK9:AR9" si="8">AK6*(1-AK29)</f>
        <v>816.72161759999995</v>
      </c>
      <c r="AL9" s="30">
        <f t="shared" si="8"/>
        <v>1143.4102646399999</v>
      </c>
      <c r="AM9" s="30">
        <f t="shared" si="8"/>
        <v>1486.4333440319999</v>
      </c>
      <c r="AN9" s="30">
        <f t="shared" si="8"/>
        <v>1858.0416800399998</v>
      </c>
      <c r="AO9" s="30">
        <f t="shared" si="8"/>
        <v>2229.6500160479995</v>
      </c>
      <c r="AP9" s="30">
        <f t="shared" si="8"/>
        <v>2564.0975184551994</v>
      </c>
      <c r="AQ9" s="30">
        <f t="shared" si="8"/>
        <v>2820.5072703007195</v>
      </c>
      <c r="AR9" s="30">
        <f t="shared" si="8"/>
        <v>2961.5326338157561</v>
      </c>
    </row>
    <row r="10" spans="2:44" s="2" customFormat="1" x14ac:dyDescent="0.2">
      <c r="B10" s="2" t="s">
        <v>82</v>
      </c>
      <c r="R10" s="31">
        <f t="shared" ref="R10" si="9">R6-R9</f>
        <v>413.30399999999997</v>
      </c>
      <c r="S10" s="31">
        <f>S6-S9</f>
        <v>127.12</v>
      </c>
      <c r="T10" s="31">
        <f t="shared" ref="T10:U10" si="10">T6-T9</f>
        <v>138.04500000000002</v>
      </c>
      <c r="U10" s="31">
        <f t="shared" si="10"/>
        <v>158.429</v>
      </c>
      <c r="V10" s="31">
        <f>V6-V9</f>
        <v>190.69600000000003</v>
      </c>
      <c r="W10" s="31">
        <f>W6-W9</f>
        <v>207.232</v>
      </c>
      <c r="X10" s="41">
        <f t="shared" ref="X10:Y10" si="11">X6-X9</f>
        <v>215.38300000000004</v>
      </c>
      <c r="Y10" s="31">
        <f t="shared" si="11"/>
        <v>239.96899999999999</v>
      </c>
      <c r="Z10" s="52">
        <f>Z6-Z9</f>
        <v>269.03197440000002</v>
      </c>
      <c r="AG10" s="31">
        <f t="shared" ref="AG10:AH10" si="12">AG6-AG9</f>
        <v>413.30399999999997</v>
      </c>
      <c r="AH10" s="31">
        <f t="shared" si="12"/>
        <v>614.29</v>
      </c>
      <c r="AI10" s="52">
        <f>AI6-AI9</f>
        <v>931.61597439999991</v>
      </c>
      <c r="AJ10" s="31">
        <f>AJ6-AJ9</f>
        <v>1400.0942015999999</v>
      </c>
      <c r="AK10" s="31">
        <f t="shared" ref="AK10:AR10" si="13">AK6-AK9</f>
        <v>2100.1413023999994</v>
      </c>
      <c r="AL10" s="31">
        <f t="shared" si="13"/>
        <v>2940.1978233599993</v>
      </c>
      <c r="AM10" s="31">
        <f t="shared" si="13"/>
        <v>3822.2571703679996</v>
      </c>
      <c r="AN10" s="31">
        <f t="shared" si="13"/>
        <v>4777.8214629599988</v>
      </c>
      <c r="AO10" s="31">
        <f t="shared" si="13"/>
        <v>5733.385755551999</v>
      </c>
      <c r="AP10" s="31">
        <f t="shared" si="13"/>
        <v>6593.3936188847983</v>
      </c>
      <c r="AQ10" s="31">
        <f t="shared" si="13"/>
        <v>7252.7329807732785</v>
      </c>
      <c r="AR10" s="31">
        <f t="shared" si="13"/>
        <v>7615.369629811943</v>
      </c>
    </row>
    <row r="11" spans="2:44" s="30" customFormat="1" x14ac:dyDescent="0.2">
      <c r="B11" s="30" t="s">
        <v>91</v>
      </c>
      <c r="R11" s="30">
        <f t="shared" ref="R11:R13" si="14">AG11-SUM(O11:Q11)</f>
        <v>325.10000000000002</v>
      </c>
      <c r="S11" s="30">
        <v>97.89</v>
      </c>
      <c r="T11" s="30">
        <v>109.377</v>
      </c>
      <c r="U11" s="30">
        <v>120.36</v>
      </c>
      <c r="V11" s="30">
        <f>AH11-SUM(S11:U11)</f>
        <v>144.26299999999998</v>
      </c>
      <c r="W11" s="30">
        <v>150.268</v>
      </c>
      <c r="X11" s="30">
        <v>181.59800000000001</v>
      </c>
      <c r="Y11" s="30">
        <v>177.41900000000001</v>
      </c>
      <c r="Z11" s="54">
        <f>Z6*0.53</f>
        <v>198.03742560000003</v>
      </c>
      <c r="AB11" s="36"/>
      <c r="AC11" s="36"/>
      <c r="AD11" s="36"/>
      <c r="AE11" s="36"/>
      <c r="AG11" s="30">
        <v>325.10000000000002</v>
      </c>
      <c r="AH11" s="30">
        <v>471.89</v>
      </c>
      <c r="AI11" s="54">
        <f t="shared" ref="AI11:AI13" si="15">SUM(W11:Z11)</f>
        <v>707.32242559999997</v>
      </c>
      <c r="AJ11" s="30">
        <f>AJ6*0.5</f>
        <v>972.2876399999999</v>
      </c>
      <c r="AK11" s="30">
        <f>AK6*0.45</f>
        <v>1312.5883139999999</v>
      </c>
      <c r="AL11" s="30">
        <f t="shared" ref="AL11:AM11" si="16">AL6*0.45</f>
        <v>1837.6236395999997</v>
      </c>
      <c r="AM11" s="30">
        <f t="shared" si="16"/>
        <v>2388.9107314799999</v>
      </c>
      <c r="AN11" s="30">
        <f>AN6*0.35</f>
        <v>2322.5521000499994</v>
      </c>
      <c r="AO11" s="30">
        <f t="shared" ref="AO11:AR11" si="17">AO6*0.35</f>
        <v>2787.0625200599993</v>
      </c>
      <c r="AP11" s="30">
        <f t="shared" si="17"/>
        <v>3205.1218980689987</v>
      </c>
      <c r="AQ11" s="30">
        <f t="shared" si="17"/>
        <v>3525.6340878758988</v>
      </c>
      <c r="AR11" s="30">
        <f t="shared" si="17"/>
        <v>3701.9157922696941</v>
      </c>
    </row>
    <row r="12" spans="2:44" s="30" customFormat="1" x14ac:dyDescent="0.2">
      <c r="B12" s="30" t="s">
        <v>92</v>
      </c>
      <c r="R12" s="30">
        <f t="shared" si="14"/>
        <v>205.161</v>
      </c>
      <c r="S12" s="30">
        <v>64.751000000000005</v>
      </c>
      <c r="T12" s="30">
        <v>72.396000000000001</v>
      </c>
      <c r="U12" s="30">
        <v>82.256</v>
      </c>
      <c r="V12" s="30">
        <f t="shared" ref="V12:V13" si="18">AH12-SUM(S12:U12)</f>
        <v>89.417000000000002</v>
      </c>
      <c r="W12" s="30">
        <v>96.372</v>
      </c>
      <c r="X12" s="30">
        <v>108.03700000000001</v>
      </c>
      <c r="Y12" s="30">
        <v>106.392</v>
      </c>
      <c r="Z12" s="54">
        <f>Z6*0.31</f>
        <v>115.83321120000001</v>
      </c>
      <c r="AB12" s="36"/>
      <c r="AC12" s="36"/>
      <c r="AD12" s="36"/>
      <c r="AE12" s="36"/>
      <c r="AG12" s="30">
        <v>205.161</v>
      </c>
      <c r="AH12" s="30">
        <v>308.82</v>
      </c>
      <c r="AI12" s="54">
        <f t="shared" si="15"/>
        <v>426.63421119999998</v>
      </c>
      <c r="AJ12" s="30">
        <f>AJ6*0.28</f>
        <v>544.4810784</v>
      </c>
      <c r="AK12" s="30">
        <f>AK6*0.26</f>
        <v>758.38435919999995</v>
      </c>
      <c r="AL12" s="30">
        <f>AL6*0.2</f>
        <v>816.72161759999983</v>
      </c>
      <c r="AM12" s="30">
        <f>AM6*0.18</f>
        <v>955.56429259199979</v>
      </c>
      <c r="AN12" s="30">
        <f>AN6*0.15</f>
        <v>995.37947144999976</v>
      </c>
      <c r="AO12" s="30">
        <f>AO6*0.1</f>
        <v>796.3035771599998</v>
      </c>
      <c r="AP12" s="30">
        <f>AP6*0.05</f>
        <v>457.87455686699991</v>
      </c>
      <c r="AQ12" s="30">
        <f t="shared" ref="AQ12:AR12" si="19">AQ6*0.05</f>
        <v>503.66201255369992</v>
      </c>
      <c r="AR12" s="30">
        <f t="shared" si="19"/>
        <v>528.84511318138493</v>
      </c>
    </row>
    <row r="13" spans="2:44" s="30" customFormat="1" x14ac:dyDescent="0.2">
      <c r="B13" s="30" t="s">
        <v>93</v>
      </c>
      <c r="R13" s="30">
        <f t="shared" si="14"/>
        <v>92.346999999999994</v>
      </c>
      <c r="S13" s="30">
        <v>25.925000000000001</v>
      </c>
      <c r="T13" s="30">
        <v>28.803000000000001</v>
      </c>
      <c r="U13" s="30">
        <v>32.581000000000003</v>
      </c>
      <c r="V13" s="30">
        <f t="shared" si="18"/>
        <v>35.635000000000005</v>
      </c>
      <c r="W13" s="30">
        <v>36.531999999999996</v>
      </c>
      <c r="X13" s="30">
        <v>40.591000000000001</v>
      </c>
      <c r="Y13" s="30">
        <v>39.081000000000003</v>
      </c>
      <c r="Z13" s="54">
        <f>Z6*0.12</f>
        <v>44.838662400000004</v>
      </c>
      <c r="AB13" s="36"/>
      <c r="AC13" s="36"/>
      <c r="AD13" s="36"/>
      <c r="AE13" s="36"/>
      <c r="AG13" s="30">
        <v>92.346999999999994</v>
      </c>
      <c r="AH13" s="30">
        <v>122.944</v>
      </c>
      <c r="AI13" s="54">
        <f t="shared" si="15"/>
        <v>161.04266239999998</v>
      </c>
      <c r="AJ13" s="30">
        <f>AJ6*0.1</f>
        <v>194.457528</v>
      </c>
      <c r="AK13" s="30">
        <f t="shared" ref="AK13:AR13" si="20">AK6*0.1</f>
        <v>291.68629199999998</v>
      </c>
      <c r="AL13" s="30">
        <f t="shared" si="20"/>
        <v>408.36080879999992</v>
      </c>
      <c r="AM13" s="30">
        <f t="shared" si="20"/>
        <v>530.86905143999991</v>
      </c>
      <c r="AN13" s="30">
        <f t="shared" si="20"/>
        <v>663.58631429999991</v>
      </c>
      <c r="AO13" s="30">
        <f t="shared" si="20"/>
        <v>796.3035771599998</v>
      </c>
      <c r="AP13" s="30">
        <f t="shared" si="20"/>
        <v>915.74911373399982</v>
      </c>
      <c r="AQ13" s="30">
        <f t="shared" si="20"/>
        <v>1007.3240251073998</v>
      </c>
      <c r="AR13" s="30">
        <f t="shared" si="20"/>
        <v>1057.6902263627699</v>
      </c>
    </row>
    <row r="14" spans="2:44" s="30" customFormat="1" x14ac:dyDescent="0.2">
      <c r="B14" s="30" t="s">
        <v>94</v>
      </c>
      <c r="R14" s="30">
        <f t="shared" ref="R14" si="21">R11+R12+R13</f>
        <v>622.60799999999995</v>
      </c>
      <c r="S14" s="30">
        <f>S11+S12+S13</f>
        <v>188.56600000000003</v>
      </c>
      <c r="T14" s="30">
        <f t="shared" ref="T14:U14" si="22">T11+T12+T13</f>
        <v>210.57599999999999</v>
      </c>
      <c r="U14" s="30">
        <f t="shared" si="22"/>
        <v>235.197</v>
      </c>
      <c r="V14" s="30">
        <f t="shared" ref="V14" si="23">V11+V12+V13</f>
        <v>269.315</v>
      </c>
      <c r="W14" s="30">
        <f>W11+W12+W13</f>
        <v>283.17199999999997</v>
      </c>
      <c r="X14" s="30">
        <f>X11+X12+X13</f>
        <v>330.226</v>
      </c>
      <c r="Y14" s="30">
        <f t="shared" ref="Y14:Z14" si="24">Y11+Y12+Y13</f>
        <v>322.89200000000005</v>
      </c>
      <c r="Z14" s="54">
        <f t="shared" si="24"/>
        <v>358.70929920000003</v>
      </c>
      <c r="AG14" s="30">
        <f t="shared" ref="AG14" si="25">AG11+AG12+AG13</f>
        <v>622.60799999999995</v>
      </c>
      <c r="AH14" s="30">
        <f t="shared" ref="AH14:AR14" si="26">AH11+AH12+AH13</f>
        <v>903.654</v>
      </c>
      <c r="AI14" s="54">
        <f t="shared" si="26"/>
        <v>1294.9992992</v>
      </c>
      <c r="AJ14" s="30">
        <f t="shared" si="26"/>
        <v>1711.2262463999998</v>
      </c>
      <c r="AK14" s="30">
        <f t="shared" si="26"/>
        <v>2362.6589651999998</v>
      </c>
      <c r="AL14" s="30">
        <f t="shared" si="26"/>
        <v>3062.7060659999997</v>
      </c>
      <c r="AM14" s="30">
        <f t="shared" si="26"/>
        <v>3875.3440755119996</v>
      </c>
      <c r="AN14" s="30">
        <f t="shared" si="26"/>
        <v>3981.517885799999</v>
      </c>
      <c r="AO14" s="30">
        <f t="shared" si="26"/>
        <v>4379.6696743799985</v>
      </c>
      <c r="AP14" s="30">
        <f t="shared" si="26"/>
        <v>4578.7455686699977</v>
      </c>
      <c r="AQ14" s="30">
        <f t="shared" si="26"/>
        <v>5036.6201255369979</v>
      </c>
      <c r="AR14" s="30">
        <f t="shared" si="26"/>
        <v>5288.4511318138493</v>
      </c>
    </row>
    <row r="15" spans="2:44" s="31" customFormat="1" x14ac:dyDescent="0.2">
      <c r="B15" s="31" t="s">
        <v>95</v>
      </c>
      <c r="R15" s="31">
        <f t="shared" ref="R15" si="27">R10-R14</f>
        <v>-209.30399999999997</v>
      </c>
      <c r="S15" s="31">
        <f>S10-S14</f>
        <v>-61.446000000000026</v>
      </c>
      <c r="T15" s="31">
        <f t="shared" ref="T15:U15" si="28">T10-T14</f>
        <v>-72.530999999999977</v>
      </c>
      <c r="U15" s="31">
        <f t="shared" si="28"/>
        <v>-76.768000000000001</v>
      </c>
      <c r="V15" s="31">
        <f t="shared" ref="V15" si="29">V10-V14</f>
        <v>-78.618999999999971</v>
      </c>
      <c r="W15" s="31">
        <f>W10-W14</f>
        <v>-75.939999999999969</v>
      </c>
      <c r="X15" s="31">
        <f>X10-X14</f>
        <v>-114.84299999999996</v>
      </c>
      <c r="Y15" s="31">
        <f t="shared" ref="Y15:Z15" si="30">Y10-Y14</f>
        <v>-82.923000000000059</v>
      </c>
      <c r="Z15" s="52">
        <f t="shared" si="30"/>
        <v>-89.677324800000008</v>
      </c>
      <c r="AG15" s="31">
        <f t="shared" ref="AG15" si="31">AG10-AG14</f>
        <v>-209.30399999999997</v>
      </c>
      <c r="AH15" s="31">
        <f t="shared" ref="AH15:AR15" si="32">AH10-AH14</f>
        <v>-289.36400000000003</v>
      </c>
      <c r="AI15" s="52">
        <f t="shared" si="32"/>
        <v>-363.38332480000008</v>
      </c>
      <c r="AJ15" s="31">
        <f t="shared" si="32"/>
        <v>-311.1320447999999</v>
      </c>
      <c r="AK15" s="31">
        <f t="shared" si="32"/>
        <v>-262.51766280000038</v>
      </c>
      <c r="AL15" s="31">
        <f t="shared" si="32"/>
        <v>-122.50824264000039</v>
      </c>
      <c r="AM15" s="31">
        <f t="shared" si="32"/>
        <v>-53.086905143999957</v>
      </c>
      <c r="AN15" s="31">
        <f t="shared" si="32"/>
        <v>796.3035771599998</v>
      </c>
      <c r="AO15" s="31">
        <f t="shared" si="32"/>
        <v>1353.7160811720005</v>
      </c>
      <c r="AP15" s="31">
        <f t="shared" si="32"/>
        <v>2014.6480502148006</v>
      </c>
      <c r="AQ15" s="31">
        <f t="shared" si="32"/>
        <v>2216.1128552362807</v>
      </c>
      <c r="AR15" s="31">
        <f t="shared" si="32"/>
        <v>2326.9184979980937</v>
      </c>
    </row>
    <row r="16" spans="2:44" s="30" customFormat="1" x14ac:dyDescent="0.2">
      <c r="B16" s="30" t="s">
        <v>96</v>
      </c>
      <c r="R16" s="30">
        <f t="shared" ref="R16:R18" si="33">AG16-SUM(O16:Q16)</f>
        <v>4.569</v>
      </c>
      <c r="S16" s="30">
        <v>0.17299999999999999</v>
      </c>
      <c r="T16" s="30">
        <v>0.157</v>
      </c>
      <c r="U16" s="30">
        <v>0.20399999999999999</v>
      </c>
      <c r="V16" s="30">
        <f t="shared" ref="V16:V20" si="34">AH16-SUM(S16:U16)</f>
        <v>0.39200000000000013</v>
      </c>
      <c r="W16" s="30">
        <v>0.624</v>
      </c>
      <c r="X16" s="30">
        <v>1.68</v>
      </c>
      <c r="Y16" s="30">
        <v>6.9320000000000004</v>
      </c>
      <c r="Z16" s="54">
        <f>AVERAGE(V16:Y16)</f>
        <v>2.407</v>
      </c>
      <c r="AB16" s="36"/>
      <c r="AG16" s="30">
        <v>4.569</v>
      </c>
      <c r="AH16" s="30">
        <v>0.92600000000000005</v>
      </c>
      <c r="AI16" s="54">
        <f t="shared" ref="AI16:AI20" si="35">SUM(W16:Z16)</f>
        <v>11.643000000000001</v>
      </c>
      <c r="AJ16" s="30">
        <f>AVERAGE(AG16:AI16)</f>
        <v>5.7126666666666672</v>
      </c>
      <c r="AK16" s="30">
        <f t="shared" ref="AK16:AR16" si="36">AVERAGE(AH16:AJ16)</f>
        <v>6.0938888888888885</v>
      </c>
      <c r="AL16" s="30">
        <f t="shared" si="36"/>
        <v>7.8165185185185182</v>
      </c>
      <c r="AM16" s="30">
        <f t="shared" si="36"/>
        <v>6.5410246913580243</v>
      </c>
      <c r="AN16" s="30">
        <f t="shared" si="36"/>
        <v>6.81714403292181</v>
      </c>
      <c r="AO16" s="30">
        <f t="shared" si="36"/>
        <v>7.0582290809327839</v>
      </c>
      <c r="AP16" s="30">
        <f t="shared" si="36"/>
        <v>6.8054659350708731</v>
      </c>
      <c r="AQ16" s="30">
        <f t="shared" si="36"/>
        <v>6.893613016308489</v>
      </c>
      <c r="AR16" s="30">
        <f t="shared" si="36"/>
        <v>6.9191026774373823</v>
      </c>
    </row>
    <row r="17" spans="2:100" s="30" customFormat="1" x14ac:dyDescent="0.2">
      <c r="B17" s="30" t="s">
        <v>97</v>
      </c>
      <c r="R17" s="30">
        <f t="shared" si="33"/>
        <v>56.106999999999999</v>
      </c>
      <c r="S17" s="30">
        <v>3.6579999999999999</v>
      </c>
      <c r="T17" s="30">
        <v>2.556</v>
      </c>
      <c r="U17" s="30">
        <v>-2.597</v>
      </c>
      <c r="V17" s="30">
        <f t="shared" si="34"/>
        <v>7.6989999999999998</v>
      </c>
      <c r="W17" s="30">
        <v>2.4529999999999998</v>
      </c>
      <c r="X17" s="30">
        <v>2.4289999999999998</v>
      </c>
      <c r="Y17" s="30">
        <v>2.4969999999999999</v>
      </c>
      <c r="Z17" s="54">
        <f>AVERAGE(V17:Y17)</f>
        <v>3.7694999999999999</v>
      </c>
      <c r="AG17" s="30">
        <v>56.106999999999999</v>
      </c>
      <c r="AH17" s="30">
        <v>11.316000000000001</v>
      </c>
      <c r="AI17" s="54">
        <f t="shared" si="35"/>
        <v>11.148499999999999</v>
      </c>
      <c r="AJ17" s="30">
        <f t="shared" ref="AJ17:AR17" si="37">AVERAGE(AG17:AI17)</f>
        <v>26.1905</v>
      </c>
      <c r="AK17" s="30">
        <f t="shared" si="37"/>
        <v>16.218333333333334</v>
      </c>
      <c r="AL17" s="30">
        <f t="shared" si="37"/>
        <v>17.852444444444444</v>
      </c>
      <c r="AM17" s="30">
        <f t="shared" si="37"/>
        <v>20.087092592592594</v>
      </c>
      <c r="AN17" s="30">
        <f t="shared" si="37"/>
        <v>18.052623456790126</v>
      </c>
      <c r="AO17" s="30">
        <f t="shared" si="37"/>
        <v>18.66405349794239</v>
      </c>
      <c r="AP17" s="30">
        <f t="shared" si="37"/>
        <v>18.93458984910837</v>
      </c>
      <c r="AQ17" s="30">
        <f t="shared" si="37"/>
        <v>18.550422267946963</v>
      </c>
      <c r="AR17" s="30">
        <f t="shared" si="37"/>
        <v>18.716355204999243</v>
      </c>
    </row>
    <row r="18" spans="2:100" s="30" customFormat="1" x14ac:dyDescent="0.2">
      <c r="B18" s="30" t="s">
        <v>98</v>
      </c>
      <c r="R18" s="30">
        <f t="shared" si="33"/>
        <v>-1.851</v>
      </c>
      <c r="S18" s="30">
        <v>-0.437</v>
      </c>
      <c r="T18" s="30">
        <v>-0.66500000000000004</v>
      </c>
      <c r="U18" s="30">
        <v>0.11700000000000001</v>
      </c>
      <c r="V18" s="30">
        <f t="shared" si="34"/>
        <v>-2.1499999999999995</v>
      </c>
      <c r="W18" s="30">
        <v>1.621</v>
      </c>
      <c r="X18" s="30">
        <v>-0.224</v>
      </c>
      <c r="Y18" s="30">
        <v>-1.3180000000000001</v>
      </c>
      <c r="Z18" s="54">
        <f>AVERAGE(V18:Y18)</f>
        <v>-0.51774999999999993</v>
      </c>
      <c r="AG18" s="30">
        <v>-1.851</v>
      </c>
      <c r="AH18" s="30">
        <v>-3.1349999999999998</v>
      </c>
      <c r="AI18" s="54">
        <f t="shared" si="35"/>
        <v>-0.43874999999999997</v>
      </c>
      <c r="AJ18" s="30">
        <f t="shared" ref="AJ18" si="38">AVERAGE(AG18:AI18)</f>
        <v>-1.8082499999999999</v>
      </c>
      <c r="AK18" s="30">
        <f t="shared" ref="AK18" si="39">AVERAGE(AH18:AJ18)</f>
        <v>-1.7939999999999998</v>
      </c>
      <c r="AL18" s="30">
        <f t="shared" ref="AL18" si="40">AVERAGE(AI18:AK18)</f>
        <v>-1.3469999999999998</v>
      </c>
      <c r="AM18" s="30">
        <f t="shared" ref="AM18" si="41">AVERAGE(AJ18:AL18)</f>
        <v>-1.6497499999999998</v>
      </c>
      <c r="AN18" s="30">
        <f t="shared" ref="AN18" si="42">AVERAGE(AK18:AM18)</f>
        <v>-1.5969166666666663</v>
      </c>
      <c r="AO18" s="30">
        <f t="shared" ref="AO18" si="43">AVERAGE(AL18:AN18)</f>
        <v>-1.5312222222222218</v>
      </c>
      <c r="AP18" s="30">
        <f t="shared" ref="AP18" si="44">AVERAGE(AM18:AO18)</f>
        <v>-1.5926296296296292</v>
      </c>
      <c r="AQ18" s="30">
        <f t="shared" ref="AQ18" si="45">AVERAGE(AN18:AP18)</f>
        <v>-1.5735895061728391</v>
      </c>
      <c r="AR18" s="30">
        <f t="shared" ref="AR18" si="46">AVERAGE(AO18:AQ18)</f>
        <v>-1.5658137860082302</v>
      </c>
    </row>
    <row r="19" spans="2:100" s="30" customFormat="1" x14ac:dyDescent="0.2">
      <c r="B19" s="30" t="s">
        <v>99</v>
      </c>
      <c r="R19" s="30">
        <f t="shared" ref="R19:Z19" si="47">R15+R16-R17+R18</f>
        <v>-262.69299999999998</v>
      </c>
      <c r="S19" s="30">
        <f t="shared" si="47"/>
        <v>-65.368000000000023</v>
      </c>
      <c r="T19" s="30">
        <f t="shared" si="47"/>
        <v>-75.594999999999985</v>
      </c>
      <c r="U19" s="30">
        <f t="shared" si="47"/>
        <v>-73.850000000000009</v>
      </c>
      <c r="V19" s="30">
        <f t="shared" si="47"/>
        <v>-88.075999999999979</v>
      </c>
      <c r="W19" s="30">
        <f t="shared" si="47"/>
        <v>-76.147999999999982</v>
      </c>
      <c r="X19" s="30">
        <f t="shared" si="47"/>
        <v>-115.81599999999996</v>
      </c>
      <c r="Y19" s="30">
        <f t="shared" si="47"/>
        <v>-79.806000000000054</v>
      </c>
      <c r="Z19" s="54">
        <f t="shared" si="47"/>
        <v>-91.557574800000012</v>
      </c>
      <c r="AG19" s="30">
        <f>AG15+AG16-AG17+AG18</f>
        <v>-262.69299999999998</v>
      </c>
      <c r="AH19" s="30">
        <f>AH15+AH16-AH17+AH18</f>
        <v>-302.88900000000001</v>
      </c>
      <c r="AI19" s="54">
        <f>AI15+AI16-AI17+AI18</f>
        <v>-363.32757480000009</v>
      </c>
      <c r="AJ19" s="30">
        <f t="shared" ref="AJ19:AR19" si="48">AJ15+AJ16-AJ17+AJ18</f>
        <v>-333.4181281333332</v>
      </c>
      <c r="AK19" s="30">
        <f t="shared" si="48"/>
        <v>-274.43610724444477</v>
      </c>
      <c r="AL19" s="30">
        <f t="shared" si="48"/>
        <v>-133.89116856592634</v>
      </c>
      <c r="AM19" s="30">
        <f t="shared" si="48"/>
        <v>-68.282723045234519</v>
      </c>
      <c r="AN19" s="30">
        <f t="shared" si="48"/>
        <v>783.47118106946482</v>
      </c>
      <c r="AO19" s="30">
        <f t="shared" si="48"/>
        <v>1340.5790345327687</v>
      </c>
      <c r="AP19" s="30">
        <f t="shared" si="48"/>
        <v>2000.9262966711337</v>
      </c>
      <c r="AQ19" s="30">
        <f t="shared" si="48"/>
        <v>2202.8824564784691</v>
      </c>
      <c r="AR19" s="30">
        <f t="shared" si="48"/>
        <v>2313.5554316845237</v>
      </c>
    </row>
    <row r="20" spans="2:100" s="30" customFormat="1" x14ac:dyDescent="0.2">
      <c r="B20" s="30" t="s">
        <v>100</v>
      </c>
      <c r="R20" s="30">
        <f>AG20-SUM(O20:Q20)</f>
        <v>4.2510000000000003</v>
      </c>
      <c r="S20" s="30">
        <v>-1.3759999999999999</v>
      </c>
      <c r="T20" s="30">
        <v>1.538</v>
      </c>
      <c r="U20" s="30">
        <v>2.2490000000000001</v>
      </c>
      <c r="V20" s="30">
        <f t="shared" si="34"/>
        <v>1.5659999999999994</v>
      </c>
      <c r="W20" s="30">
        <v>1.1459999999999999</v>
      </c>
      <c r="X20" s="30">
        <v>3.0489999999999999</v>
      </c>
      <c r="Y20" s="30">
        <v>5.0350000000000001</v>
      </c>
      <c r="Z20" s="54">
        <f>Z19*(Z32)</f>
        <v>4.5778787400000009</v>
      </c>
      <c r="AG20" s="30">
        <v>4.2510000000000003</v>
      </c>
      <c r="AH20" s="30">
        <v>3.9769999999999999</v>
      </c>
      <c r="AI20" s="54">
        <f t="shared" si="35"/>
        <v>13.807878740000001</v>
      </c>
      <c r="AJ20" s="30">
        <f>AJ19*AJ32</f>
        <v>16.67090640666666</v>
      </c>
      <c r="AK20" s="30">
        <f t="shared" ref="AK20:AR20" si="49">AK19*AK32</f>
        <v>8.233083217333343</v>
      </c>
      <c r="AL20" s="30">
        <f t="shared" si="49"/>
        <v>2.6778233713185267</v>
      </c>
      <c r="AM20" s="30">
        <f t="shared" si="49"/>
        <v>-3.414136152261726</v>
      </c>
      <c r="AN20" s="30">
        <f t="shared" si="49"/>
        <v>39.173559053473241</v>
      </c>
      <c r="AO20" s="30">
        <f t="shared" si="49"/>
        <v>134.05790345327688</v>
      </c>
      <c r="AP20" s="30">
        <f t="shared" si="49"/>
        <v>200.09262966711339</v>
      </c>
      <c r="AQ20" s="30">
        <f t="shared" si="49"/>
        <v>330.43236847177036</v>
      </c>
      <c r="AR20" s="30">
        <f t="shared" si="49"/>
        <v>347.03331475267856</v>
      </c>
    </row>
    <row r="21" spans="2:100" s="31" customFormat="1" x14ac:dyDescent="0.2">
      <c r="B21" s="31" t="s">
        <v>101</v>
      </c>
      <c r="R21" s="31">
        <f t="shared" ref="R21:Z21" si="50">R19-R20</f>
        <v>-266.94399999999996</v>
      </c>
      <c r="S21" s="31">
        <f t="shared" si="50"/>
        <v>-63.992000000000026</v>
      </c>
      <c r="T21" s="31">
        <f t="shared" si="50"/>
        <v>-77.132999999999981</v>
      </c>
      <c r="U21" s="31">
        <f t="shared" si="50"/>
        <v>-76.099000000000004</v>
      </c>
      <c r="V21" s="31">
        <f t="shared" si="50"/>
        <v>-89.641999999999982</v>
      </c>
      <c r="W21" s="31">
        <f t="shared" si="50"/>
        <v>-77.293999999999983</v>
      </c>
      <c r="X21" s="31">
        <f t="shared" si="50"/>
        <v>-118.86499999999997</v>
      </c>
      <c r="Y21" s="31">
        <f t="shared" si="50"/>
        <v>-84.841000000000051</v>
      </c>
      <c r="Z21" s="52">
        <f t="shared" si="50"/>
        <v>-96.135453540000015</v>
      </c>
      <c r="AG21" s="31">
        <f>AG19-AG20</f>
        <v>-266.94399999999996</v>
      </c>
      <c r="AH21" s="31">
        <f>AH19-AH20</f>
        <v>-306.86599999999999</v>
      </c>
      <c r="AI21" s="52">
        <f>AI19-AI20</f>
        <v>-377.13545354000007</v>
      </c>
      <c r="AJ21" s="31">
        <f t="shared" ref="AJ21:AR21" si="51">AJ19-AJ20</f>
        <v>-350.08903453999983</v>
      </c>
      <c r="AK21" s="31">
        <f t="shared" si="51"/>
        <v>-282.6691904617781</v>
      </c>
      <c r="AL21" s="31">
        <f t="shared" si="51"/>
        <v>-136.56899193724487</v>
      </c>
      <c r="AM21" s="31">
        <f t="shared" si="51"/>
        <v>-64.868586892972786</v>
      </c>
      <c r="AN21" s="31">
        <f t="shared" si="51"/>
        <v>744.29762201599158</v>
      </c>
      <c r="AO21" s="31">
        <f t="shared" si="51"/>
        <v>1206.5211310794919</v>
      </c>
      <c r="AP21" s="31">
        <f t="shared" si="51"/>
        <v>1800.8336670040203</v>
      </c>
      <c r="AQ21" s="31">
        <f t="shared" si="51"/>
        <v>1872.4500880066987</v>
      </c>
      <c r="AR21" s="31">
        <f t="shared" si="51"/>
        <v>1966.5221169318452</v>
      </c>
      <c r="AS21" s="31">
        <f>AR21*(1+$AU$22)</f>
        <v>1946.8568957625266</v>
      </c>
      <c r="AT21" s="31">
        <f t="shared" ref="AT21:CV21" si="52">AS21*(1+$AU$22)</f>
        <v>1927.3883268049012</v>
      </c>
      <c r="AU21" s="31">
        <f t="shared" si="52"/>
        <v>1908.1144435368521</v>
      </c>
      <c r="AV21" s="31">
        <f t="shared" si="52"/>
        <v>1889.0332991014836</v>
      </c>
      <c r="AW21" s="31">
        <f t="shared" si="52"/>
        <v>1870.1429661104687</v>
      </c>
      <c r="AX21" s="31">
        <f t="shared" si="52"/>
        <v>1851.4415364493641</v>
      </c>
      <c r="AY21" s="31">
        <f t="shared" si="52"/>
        <v>1832.9271210848704</v>
      </c>
      <c r="AZ21" s="31">
        <f t="shared" si="52"/>
        <v>1814.5978498740217</v>
      </c>
      <c r="BA21" s="31">
        <f t="shared" si="52"/>
        <v>1796.4518713752814</v>
      </c>
      <c r="BB21" s="31">
        <f t="shared" si="52"/>
        <v>1778.4873526615286</v>
      </c>
      <c r="BC21" s="31">
        <f t="shared" si="52"/>
        <v>1760.7024791349133</v>
      </c>
      <c r="BD21" s="31">
        <f t="shared" si="52"/>
        <v>1743.0954543435641</v>
      </c>
      <c r="BE21" s="31">
        <f t="shared" si="52"/>
        <v>1725.6644998001284</v>
      </c>
      <c r="BF21" s="31">
        <f t="shared" si="52"/>
        <v>1708.4078548021271</v>
      </c>
      <c r="BG21" s="31">
        <f t="shared" si="52"/>
        <v>1691.3237762541057</v>
      </c>
      <c r="BH21" s="31">
        <f t="shared" si="52"/>
        <v>1674.4105384915647</v>
      </c>
      <c r="BI21" s="31">
        <f t="shared" si="52"/>
        <v>1657.666433106649</v>
      </c>
      <c r="BJ21" s="31">
        <f t="shared" si="52"/>
        <v>1641.0897687755826</v>
      </c>
      <c r="BK21" s="31">
        <f t="shared" si="52"/>
        <v>1624.6788710878268</v>
      </c>
      <c r="BL21" s="31">
        <f t="shared" si="52"/>
        <v>1608.4320823769485</v>
      </c>
      <c r="BM21" s="31">
        <f t="shared" si="52"/>
        <v>1592.347761553179</v>
      </c>
      <c r="BN21" s="31">
        <f t="shared" si="52"/>
        <v>1576.4242839376473</v>
      </c>
      <c r="BO21" s="31">
        <f t="shared" si="52"/>
        <v>1560.6600410982708</v>
      </c>
      <c r="BP21" s="31">
        <f t="shared" si="52"/>
        <v>1545.053440687288</v>
      </c>
      <c r="BQ21" s="31">
        <f t="shared" si="52"/>
        <v>1529.602906280415</v>
      </c>
      <c r="BR21" s="31">
        <f t="shared" si="52"/>
        <v>1514.3068772176109</v>
      </c>
      <c r="BS21" s="31">
        <f t="shared" si="52"/>
        <v>1499.1638084454348</v>
      </c>
      <c r="BT21" s="31">
        <f t="shared" si="52"/>
        <v>1484.1721703609805</v>
      </c>
      <c r="BU21" s="31">
        <f t="shared" si="52"/>
        <v>1469.3304486573707</v>
      </c>
      <c r="BV21" s="31">
        <f t="shared" si="52"/>
        <v>1454.637144170797</v>
      </c>
      <c r="BW21" s="31">
        <f t="shared" si="52"/>
        <v>1440.0907727290889</v>
      </c>
      <c r="BX21" s="31">
        <f t="shared" si="52"/>
        <v>1425.6898650017981</v>
      </c>
      <c r="BY21" s="31">
        <f t="shared" si="52"/>
        <v>1411.4329663517801</v>
      </c>
      <c r="BZ21" s="31">
        <f t="shared" si="52"/>
        <v>1397.3186366882624</v>
      </c>
      <c r="CA21" s="31">
        <f t="shared" si="52"/>
        <v>1383.3454503213798</v>
      </c>
      <c r="CB21" s="31">
        <f t="shared" si="52"/>
        <v>1369.511995818166</v>
      </c>
      <c r="CC21" s="31">
        <f t="shared" si="52"/>
        <v>1355.8168758599843</v>
      </c>
      <c r="CD21" s="31">
        <f t="shared" si="52"/>
        <v>1342.2587071013845</v>
      </c>
      <c r="CE21" s="31">
        <f t="shared" si="52"/>
        <v>1328.8361200303707</v>
      </c>
      <c r="CF21" s="31">
        <f t="shared" si="52"/>
        <v>1315.5477588300669</v>
      </c>
      <c r="CG21" s="31">
        <f t="shared" si="52"/>
        <v>1302.3922812417661</v>
      </c>
      <c r="CH21" s="31">
        <f t="shared" si="52"/>
        <v>1289.3683584293485</v>
      </c>
      <c r="CI21" s="31">
        <f t="shared" si="52"/>
        <v>1276.474674845055</v>
      </c>
      <c r="CJ21" s="31">
        <f t="shared" si="52"/>
        <v>1263.7099280966045</v>
      </c>
      <c r="CK21" s="31">
        <f t="shared" si="52"/>
        <v>1251.0728288156383</v>
      </c>
      <c r="CL21" s="31">
        <f t="shared" si="52"/>
        <v>1238.562100527482</v>
      </c>
      <c r="CM21" s="31">
        <f t="shared" si="52"/>
        <v>1226.1764795222073</v>
      </c>
      <c r="CN21" s="31">
        <f t="shared" si="52"/>
        <v>1213.9147147269853</v>
      </c>
      <c r="CO21" s="31">
        <f t="shared" si="52"/>
        <v>1201.7755675797155</v>
      </c>
      <c r="CP21" s="31">
        <f t="shared" si="52"/>
        <v>1189.7578119039183</v>
      </c>
      <c r="CQ21" s="31">
        <f t="shared" si="52"/>
        <v>1177.860233784879</v>
      </c>
      <c r="CR21" s="31">
        <f t="shared" si="52"/>
        <v>1166.0816314470303</v>
      </c>
      <c r="CS21" s="31">
        <f t="shared" si="52"/>
        <v>1154.4208151325599</v>
      </c>
      <c r="CT21" s="31">
        <f t="shared" si="52"/>
        <v>1142.8766069812343</v>
      </c>
      <c r="CU21" s="31">
        <f t="shared" si="52"/>
        <v>1131.447840911422</v>
      </c>
      <c r="CV21" s="31">
        <f t="shared" si="52"/>
        <v>1120.1333625023078</v>
      </c>
    </row>
    <row r="22" spans="2:100" s="36" customFormat="1" x14ac:dyDescent="0.2">
      <c r="B22" s="36" t="s">
        <v>102</v>
      </c>
      <c r="R22" s="36">
        <f t="shared" ref="R22:Z22" si="53">R21/R23</f>
        <v>-4.525655542249635</v>
      </c>
      <c r="S22" s="36">
        <f t="shared" si="53"/>
        <v>-1.0428660106545344</v>
      </c>
      <c r="T22" s="36">
        <f t="shared" si="53"/>
        <v>-1.2160968061806907</v>
      </c>
      <c r="U22" s="36">
        <f t="shared" si="53"/>
        <v>-1.1463044248881236</v>
      </c>
      <c r="V22" s="36">
        <f t="shared" si="53"/>
        <v>-1.3884416085043834</v>
      </c>
      <c r="W22" s="36">
        <f t="shared" si="53"/>
        <v>-1.1416038004739926</v>
      </c>
      <c r="X22" s="36">
        <f t="shared" si="53"/>
        <v>-1.739459023195089</v>
      </c>
      <c r="Y22" s="36">
        <f t="shared" si="53"/>
        <v>-1.2310638914773968</v>
      </c>
      <c r="Z22" s="55">
        <f t="shared" si="53"/>
        <v>-1.3949492055008406</v>
      </c>
      <c r="AG22" s="36">
        <f>AG21/AG23</f>
        <v>-4.525655542249635</v>
      </c>
      <c r="AH22" s="36">
        <f>AH21/AH23</f>
        <v>-4.7529676115582671</v>
      </c>
      <c r="AI22" s="55">
        <f>AI21/AI23</f>
        <v>-5.4723286977881589</v>
      </c>
      <c r="AJ22" s="36">
        <f t="shared" ref="AJ22:AR22" si="54">AJ21/AJ23</f>
        <v>-5.0798784694237069</v>
      </c>
      <c r="AK22" s="36">
        <f t="shared" si="54"/>
        <v>-4.1015998586843834</v>
      </c>
      <c r="AL22" s="36">
        <f t="shared" si="54"/>
        <v>-1.9816498470009758</v>
      </c>
      <c r="AM22" s="36">
        <f t="shared" si="54"/>
        <v>-0.94125923804649503</v>
      </c>
      <c r="AN22" s="36">
        <f t="shared" si="54"/>
        <v>10.799942562869115</v>
      </c>
      <c r="AO22" s="36">
        <f t="shared" si="54"/>
        <v>17.506919988878355</v>
      </c>
      <c r="AP22" s="36">
        <f t="shared" si="54"/>
        <v>26.130541860721564</v>
      </c>
      <c r="AQ22" s="36">
        <f t="shared" si="54"/>
        <v>27.169713840462972</v>
      </c>
      <c r="AR22" s="36">
        <f t="shared" si="54"/>
        <v>28.534722244510132</v>
      </c>
      <c r="AT22" s="61" t="s">
        <v>145</v>
      </c>
      <c r="AU22" s="68">
        <v>-0.01</v>
      </c>
    </row>
    <row r="23" spans="2:100" s="30" customFormat="1" x14ac:dyDescent="0.2">
      <c r="B23" s="30" t="s">
        <v>3</v>
      </c>
      <c r="R23" s="30">
        <f>AG23</f>
        <v>58.984603999999997</v>
      </c>
      <c r="S23" s="30">
        <v>61.361669999999997</v>
      </c>
      <c r="T23" s="30">
        <v>63.426693999999998</v>
      </c>
      <c r="U23" s="30">
        <v>66.386379000000005</v>
      </c>
      <c r="V23" s="30">
        <f>AH23</f>
        <v>64.563032000000007</v>
      </c>
      <c r="W23" s="30">
        <v>67.706502</v>
      </c>
      <c r="X23" s="30">
        <v>68.334463999999997</v>
      </c>
      <c r="Y23" s="30">
        <v>68.916813000000005</v>
      </c>
      <c r="Z23" s="54">
        <f>Y23</f>
        <v>68.916813000000005</v>
      </c>
      <c r="AG23" s="30">
        <v>58.984603999999997</v>
      </c>
      <c r="AH23" s="30">
        <v>64.563032000000007</v>
      </c>
      <c r="AI23" s="54">
        <f>Z23</f>
        <v>68.916813000000005</v>
      </c>
      <c r="AJ23" s="30">
        <f>AI23</f>
        <v>68.916813000000005</v>
      </c>
      <c r="AK23" s="30">
        <f t="shared" ref="AK23:AR23" si="55">AJ23</f>
        <v>68.916813000000005</v>
      </c>
      <c r="AL23" s="30">
        <f t="shared" si="55"/>
        <v>68.916813000000005</v>
      </c>
      <c r="AM23" s="30">
        <f t="shared" si="55"/>
        <v>68.916813000000005</v>
      </c>
      <c r="AN23" s="30">
        <f t="shared" si="55"/>
        <v>68.916813000000005</v>
      </c>
      <c r="AO23" s="30">
        <f t="shared" si="55"/>
        <v>68.916813000000005</v>
      </c>
      <c r="AP23" s="30">
        <f t="shared" si="55"/>
        <v>68.916813000000005</v>
      </c>
      <c r="AQ23" s="30">
        <f t="shared" si="55"/>
        <v>68.916813000000005</v>
      </c>
      <c r="AR23" s="30">
        <f t="shared" si="55"/>
        <v>68.916813000000005</v>
      </c>
      <c r="AT23" s="62" t="s">
        <v>146</v>
      </c>
      <c r="AU23" s="69">
        <v>0.08</v>
      </c>
    </row>
    <row r="24" spans="2:100" s="30" customFormat="1" x14ac:dyDescent="0.2">
      <c r="Z24" s="54"/>
      <c r="AI24" s="54"/>
      <c r="AT24" s="62" t="s">
        <v>147</v>
      </c>
      <c r="AU24" s="63">
        <f>NPV(AU23,AI21:CV21)</f>
        <v>12918.266444642399</v>
      </c>
    </row>
    <row r="25" spans="2:100" x14ac:dyDescent="0.2">
      <c r="AT25" s="64" t="s">
        <v>7</v>
      </c>
      <c r="AU25" s="65">
        <f>Main!C11</f>
        <v>648.49</v>
      </c>
    </row>
    <row r="26" spans="2:100" s="2" customFormat="1" x14ac:dyDescent="0.2">
      <c r="B26" s="2" t="s">
        <v>83</v>
      </c>
      <c r="W26" s="32">
        <f>W6/S6-1</f>
        <v>0.57142935787897486</v>
      </c>
      <c r="X26" s="32">
        <f>X6/T6-1</f>
        <v>0.52787211882443508</v>
      </c>
      <c r="Y26" s="32">
        <f t="shared" ref="Y26:Z26" si="56">Y6/U6-1</f>
        <v>0.47038912615197459</v>
      </c>
      <c r="Z26" s="60">
        <f t="shared" si="56"/>
        <v>0.40211607015542561</v>
      </c>
      <c r="AH26" s="32">
        <f>AH6/AG6-1</f>
        <v>0.48003319895660423</v>
      </c>
      <c r="AI26" s="60">
        <f>AI6/AH6-1</f>
        <v>0.48364640150518068</v>
      </c>
      <c r="AJ26" s="32">
        <v>0.5</v>
      </c>
      <c r="AK26" s="32">
        <v>0.5</v>
      </c>
      <c r="AL26" s="32">
        <v>0.4</v>
      </c>
      <c r="AM26" s="32">
        <v>0.3</v>
      </c>
      <c r="AN26" s="32">
        <v>0.25</v>
      </c>
      <c r="AO26" s="32">
        <v>0.2</v>
      </c>
      <c r="AP26" s="32">
        <v>0.15</v>
      </c>
      <c r="AQ26" s="32">
        <v>0.1</v>
      </c>
      <c r="AR26" s="32">
        <v>0.05</v>
      </c>
      <c r="AT26" s="64" t="s">
        <v>148</v>
      </c>
      <c r="AU26" s="63">
        <f>AU24-AU25</f>
        <v>12269.776444642399</v>
      </c>
    </row>
    <row r="27" spans="2:100" x14ac:dyDescent="0.2">
      <c r="B27" s="1" t="s">
        <v>84</v>
      </c>
      <c r="T27" s="33">
        <f>T6/S6-1</f>
        <v>9.41326081212015E-2</v>
      </c>
      <c r="U27" s="33">
        <f>U6/T6-1</f>
        <v>0.14161723195821807</v>
      </c>
      <c r="V27" s="33">
        <f t="shared" ref="V27:W27" si="57">V6/U6-1</f>
        <v>0.17453601477348357</v>
      </c>
      <c r="W27" s="33">
        <f t="shared" si="57"/>
        <v>7.1119800070545525E-2</v>
      </c>
      <c r="X27" s="33">
        <f>X6/W6-1</f>
        <v>6.3805189755015812E-2</v>
      </c>
      <c r="Y27" s="33">
        <f t="shared" ref="Y27" si="58">Y6/X6-1</f>
        <v>9.8666271487848123E-2</v>
      </c>
      <c r="Z27" s="56">
        <v>0.12</v>
      </c>
      <c r="AD27" s="21" t="s">
        <v>142</v>
      </c>
      <c r="AE27" s="21" t="s">
        <v>142</v>
      </c>
      <c r="AF27" s="21" t="s">
        <v>142</v>
      </c>
      <c r="AG27" s="21" t="s">
        <v>142</v>
      </c>
      <c r="AH27" s="21" t="s">
        <v>142</v>
      </c>
      <c r="AT27" s="3" t="s">
        <v>149</v>
      </c>
      <c r="AU27" s="70">
        <f>AU26/Main!C7</f>
        <v>178.03749057058687</v>
      </c>
    </row>
    <row r="28" spans="2:100" x14ac:dyDescent="0.2">
      <c r="AT28" s="64" t="s">
        <v>150</v>
      </c>
      <c r="AU28" s="65">
        <f>Main!C6</f>
        <v>191.75</v>
      </c>
    </row>
    <row r="29" spans="2:100" s="33" customFormat="1" x14ac:dyDescent="0.2">
      <c r="B29" s="33" t="s">
        <v>85</v>
      </c>
      <c r="S29" s="33">
        <f>S10/S6</f>
        <v>0.69981502686514585</v>
      </c>
      <c r="T29" s="33">
        <f t="shared" ref="T29" si="59">T10/T6</f>
        <v>0.69457652190976471</v>
      </c>
      <c r="U29" s="33">
        <f>U10/U6</f>
        <v>0.69825424318952101</v>
      </c>
      <c r="V29" s="33">
        <f t="shared" ref="V29" si="60">V10/V6</f>
        <v>0.71557333373359255</v>
      </c>
      <c r="W29" s="33">
        <f>W10/W6</f>
        <v>0.72599116473460923</v>
      </c>
      <c r="X29" s="33">
        <f t="shared" ref="X29:Y29" si="61">X10/X6</f>
        <v>0.70928999538958049</v>
      </c>
      <c r="Y29" s="33">
        <f t="shared" si="61"/>
        <v>0.71928625596110563</v>
      </c>
      <c r="Z29" s="56">
        <v>0.72</v>
      </c>
      <c r="AG29" s="33">
        <f t="shared" ref="AG29:AH29" si="62">AG10/AG6</f>
        <v>0.7000643653240286</v>
      </c>
      <c r="AH29" s="33">
        <f t="shared" si="62"/>
        <v>0.703024324144924</v>
      </c>
      <c r="AI29" s="56">
        <f t="shared" ref="AI29" si="63">AI10/AI6</f>
        <v>0.71862682611084105</v>
      </c>
      <c r="AJ29" s="33">
        <v>0.72</v>
      </c>
      <c r="AK29" s="33">
        <v>0.72</v>
      </c>
      <c r="AL29" s="33">
        <v>0.72</v>
      </c>
      <c r="AM29" s="33">
        <v>0.72</v>
      </c>
      <c r="AN29" s="33">
        <v>0.72</v>
      </c>
      <c r="AO29" s="33">
        <v>0.72</v>
      </c>
      <c r="AP29" s="33">
        <v>0.72</v>
      </c>
      <c r="AQ29" s="33">
        <v>0.72</v>
      </c>
      <c r="AR29" s="33">
        <v>0.72</v>
      </c>
      <c r="AT29" s="66" t="s">
        <v>151</v>
      </c>
      <c r="AU29" s="67">
        <f>AU27/AU28-1</f>
        <v>-7.1512435094722937E-2</v>
      </c>
    </row>
    <row r="30" spans="2:100" s="33" customFormat="1" x14ac:dyDescent="0.2">
      <c r="B30" s="33" t="s">
        <v>86</v>
      </c>
      <c r="S30" s="33">
        <f>S15/S6</f>
        <v>-0.33826962036466146</v>
      </c>
      <c r="T30" s="33">
        <f t="shared" ref="T30" si="64">T15/T6</f>
        <v>-0.3649413576053977</v>
      </c>
      <c r="U30" s="33">
        <f>U15/U6</f>
        <v>-0.33834450600062582</v>
      </c>
      <c r="V30" s="33">
        <f t="shared" ref="V30" si="65">V15/V6</f>
        <v>-0.29501227044511308</v>
      </c>
      <c r="W30" s="33">
        <f>W15/W6</f>
        <v>-0.26603887937165205</v>
      </c>
      <c r="X30" s="33">
        <f t="shared" ref="X30:Z30" si="66">X15/X6</f>
        <v>-0.37819600869393383</v>
      </c>
      <c r="Y30" s="33">
        <f t="shared" si="66"/>
        <v>-0.24855449746868472</v>
      </c>
      <c r="Z30" s="56">
        <f t="shared" si="66"/>
        <v>-0.24000000000000002</v>
      </c>
      <c r="AG30" s="33">
        <f t="shared" ref="AG30:AH30" si="67">AG15/AG6</f>
        <v>-0.35452420474948332</v>
      </c>
      <c r="AH30" s="33">
        <f t="shared" si="67"/>
        <v>-0.33116269275402793</v>
      </c>
      <c r="AI30" s="56">
        <f t="shared" ref="AI30" si="68">AI15/AI6</f>
        <v>-0.2803054182607938</v>
      </c>
    </row>
    <row r="31" spans="2:100" s="33" customFormat="1" x14ac:dyDescent="0.2">
      <c r="B31" s="33" t="s">
        <v>87</v>
      </c>
      <c r="S31" s="33">
        <f>S21/S6</f>
        <v>-0.35228573945212732</v>
      </c>
      <c r="T31" s="33">
        <f t="shared" ref="T31" si="69">T21/T6</f>
        <v>-0.38809642409696737</v>
      </c>
      <c r="U31" s="33">
        <f>U21/U6</f>
        <v>-0.33539597960272022</v>
      </c>
      <c r="V31" s="33">
        <f t="shared" ref="V31" si="70">V21/V6</f>
        <v>-0.336375303008698</v>
      </c>
      <c r="W31" s="33">
        <f>W21/W6</f>
        <v>-0.27078231685742005</v>
      </c>
      <c r="X31" s="33">
        <f t="shared" ref="X31:Z31" si="71">X21/X6</f>
        <v>-0.39144108542448774</v>
      </c>
      <c r="Y31" s="33">
        <f t="shared" si="71"/>
        <v>-0.2543035360483904</v>
      </c>
      <c r="Z31" s="56">
        <f t="shared" si="71"/>
        <v>-0.2572836433407969</v>
      </c>
      <c r="AG31" s="33">
        <f t="shared" ref="AG31:AH31" si="72">AG21/AG6</f>
        <v>-0.45215623835495777</v>
      </c>
      <c r="AH31" s="33">
        <f t="shared" si="72"/>
        <v>-0.35119286046176273</v>
      </c>
      <c r="AI31" s="56">
        <f t="shared" ref="AI31" si="73">AI21/AI6</f>
        <v>-0.29091348950501938</v>
      </c>
    </row>
    <row r="32" spans="2:100" s="33" customFormat="1" x14ac:dyDescent="0.2">
      <c r="B32" s="33" t="s">
        <v>88</v>
      </c>
      <c r="S32" s="33">
        <f>S20/S19</f>
        <v>2.1050055072818496E-2</v>
      </c>
      <c r="T32" s="33">
        <f t="shared" ref="T32" si="74">T20/T19</f>
        <v>-2.0345260929955689E-2</v>
      </c>
      <c r="U32" s="33">
        <f>U20/U19</f>
        <v>-3.0453622207176706E-2</v>
      </c>
      <c r="V32" s="33">
        <f t="shared" ref="V32" si="75">V20/V19</f>
        <v>-1.7780099005404421E-2</v>
      </c>
      <c r="W32" s="33">
        <f>W20/W19</f>
        <v>-1.5049640174397229E-2</v>
      </c>
      <c r="X32" s="33">
        <f t="shared" ref="X32:Y32" si="76">X20/X19</f>
        <v>-2.6326241624645998E-2</v>
      </c>
      <c r="Y32" s="33">
        <f t="shared" si="76"/>
        <v>-6.3090494449038872E-2</v>
      </c>
      <c r="Z32" s="56">
        <v>-0.05</v>
      </c>
      <c r="AG32" s="33">
        <f t="shared" ref="AG32:AH32" si="77">AG20/AG19</f>
        <v>-1.6182387806298611E-2</v>
      </c>
      <c r="AH32" s="33">
        <f t="shared" si="77"/>
        <v>-1.3130222622809015E-2</v>
      </c>
      <c r="AI32" s="56">
        <f t="shared" ref="AI32" si="78">AI20/AI19</f>
        <v>-3.8003938312694226E-2</v>
      </c>
      <c r="AJ32" s="33">
        <v>-0.05</v>
      </c>
      <c r="AK32" s="33">
        <v>-0.03</v>
      </c>
      <c r="AL32" s="33">
        <v>-0.02</v>
      </c>
      <c r="AM32" s="33">
        <v>0.05</v>
      </c>
      <c r="AN32" s="33">
        <v>0.05</v>
      </c>
      <c r="AO32" s="33">
        <v>0.1</v>
      </c>
      <c r="AP32" s="33">
        <v>0.1</v>
      </c>
      <c r="AQ32" s="33">
        <v>0.15</v>
      </c>
      <c r="AR32" s="33">
        <v>0.15</v>
      </c>
    </row>
    <row r="36" spans="2:35" x14ac:dyDescent="0.2">
      <c r="B36" s="37" t="s">
        <v>103</v>
      </c>
    </row>
    <row r="37" spans="2:35" s="2" customFormat="1" x14ac:dyDescent="0.2">
      <c r="B37" s="2" t="s">
        <v>5</v>
      </c>
      <c r="V37" s="31">
        <v>473.904</v>
      </c>
      <c r="W37" s="31">
        <v>456.27499999999998</v>
      </c>
      <c r="X37" s="31">
        <v>651.41999999999996</v>
      </c>
      <c r="Y37" s="31">
        <v>999.67399999999998</v>
      </c>
      <c r="Z37" s="53"/>
      <c r="AG37" s="31">
        <v>429.697</v>
      </c>
      <c r="AH37" s="31">
        <f>V37</f>
        <v>473.904</v>
      </c>
      <c r="AI37" s="52"/>
    </row>
    <row r="38" spans="2:35" s="2" customFormat="1" x14ac:dyDescent="0.2">
      <c r="B38" s="2" t="s">
        <v>104</v>
      </c>
      <c r="V38" s="31">
        <v>1352.019</v>
      </c>
      <c r="W38" s="31">
        <v>1372.42</v>
      </c>
      <c r="X38" s="31">
        <v>1144.192</v>
      </c>
      <c r="Y38" s="31">
        <v>787.85799999999995</v>
      </c>
      <c r="Z38" s="53"/>
      <c r="AG38" s="31">
        <v>528.04499999999996</v>
      </c>
      <c r="AH38" s="31">
        <f>V38</f>
        <v>1352.019</v>
      </c>
      <c r="AI38" s="52"/>
    </row>
    <row r="39" spans="2:35" x14ac:dyDescent="0.2">
      <c r="B39" s="1" t="s">
        <v>105</v>
      </c>
      <c r="V39" s="30">
        <v>195.38300000000001</v>
      </c>
      <c r="W39" s="30">
        <v>164.88499999999999</v>
      </c>
      <c r="X39" s="30">
        <v>213.267</v>
      </c>
      <c r="Y39" s="30">
        <v>231.26</v>
      </c>
      <c r="AG39" s="30">
        <v>135.17599999999999</v>
      </c>
      <c r="AH39" s="30">
        <f>V39</f>
        <v>195.38300000000001</v>
      </c>
    </row>
    <row r="40" spans="2:35" x14ac:dyDescent="0.2">
      <c r="B40" s="1" t="s">
        <v>106</v>
      </c>
      <c r="V40" s="30">
        <v>63.523000000000003</v>
      </c>
      <c r="W40" s="30">
        <v>66.754000000000005</v>
      </c>
      <c r="X40" s="30">
        <v>72.069000000000003</v>
      </c>
      <c r="Y40" s="30">
        <v>77.445999999999998</v>
      </c>
      <c r="AG40" s="30">
        <v>36.619</v>
      </c>
      <c r="AH40" s="30">
        <f t="shared" ref="AH40:AH47" si="79">V40</f>
        <v>63.523000000000003</v>
      </c>
    </row>
    <row r="41" spans="2:35" x14ac:dyDescent="0.2">
      <c r="B41" s="1" t="s">
        <v>107</v>
      </c>
      <c r="V41" s="30">
        <v>32.573</v>
      </c>
      <c r="W41" s="30">
        <v>35.972999999999999</v>
      </c>
      <c r="X41" s="30">
        <v>27.565999999999999</v>
      </c>
      <c r="Y41" s="30">
        <v>26.016999999999999</v>
      </c>
      <c r="AG41" s="30">
        <v>12.35</v>
      </c>
      <c r="AH41" s="30">
        <f t="shared" si="79"/>
        <v>32.573</v>
      </c>
    </row>
    <row r="42" spans="2:35" x14ac:dyDescent="0.2">
      <c r="B42" s="1" t="s">
        <v>108</v>
      </c>
      <c r="C42" s="30">
        <f t="shared" ref="C42:V42" si="80">SUM(C37:C41)</f>
        <v>0</v>
      </c>
      <c r="D42" s="30">
        <f t="shared" si="80"/>
        <v>0</v>
      </c>
      <c r="E42" s="30">
        <f t="shared" si="80"/>
        <v>0</v>
      </c>
      <c r="F42" s="30">
        <f t="shared" si="80"/>
        <v>0</v>
      </c>
      <c r="G42" s="30">
        <f t="shared" si="80"/>
        <v>0</v>
      </c>
      <c r="H42" s="30">
        <f t="shared" si="80"/>
        <v>0</v>
      </c>
      <c r="I42" s="30">
        <f t="shared" si="80"/>
        <v>0</v>
      </c>
      <c r="J42" s="30">
        <f t="shared" si="80"/>
        <v>0</v>
      </c>
      <c r="K42" s="30">
        <f t="shared" si="80"/>
        <v>0</v>
      </c>
      <c r="L42" s="30">
        <f t="shared" si="80"/>
        <v>0</v>
      </c>
      <c r="M42" s="30">
        <f t="shared" si="80"/>
        <v>0</v>
      </c>
      <c r="N42" s="30">
        <f t="shared" si="80"/>
        <v>0</v>
      </c>
      <c r="O42" s="30">
        <f t="shared" si="80"/>
        <v>0</v>
      </c>
      <c r="P42" s="30">
        <f t="shared" si="80"/>
        <v>0</v>
      </c>
      <c r="Q42" s="30">
        <f t="shared" si="80"/>
        <v>0</v>
      </c>
      <c r="R42" s="30">
        <f t="shared" si="80"/>
        <v>0</v>
      </c>
      <c r="S42" s="30">
        <f t="shared" si="80"/>
        <v>0</v>
      </c>
      <c r="T42" s="30">
        <f t="shared" si="80"/>
        <v>0</v>
      </c>
      <c r="U42" s="30">
        <f t="shared" si="80"/>
        <v>0</v>
      </c>
      <c r="V42" s="30">
        <f t="shared" si="80"/>
        <v>2117.402</v>
      </c>
      <c r="W42" s="30">
        <f>SUM(W37:W41)</f>
        <v>2096.3070000000002</v>
      </c>
      <c r="X42" s="30">
        <f t="shared" ref="X42:Y42" si="81">SUM(X37:X41)</f>
        <v>2108.5140000000001</v>
      </c>
      <c r="Y42" s="30">
        <f t="shared" si="81"/>
        <v>2122.2549999999997</v>
      </c>
      <c r="AG42" s="30">
        <f t="shared" ref="AG42:AH42" si="82">SUM(AG37:AG41)</f>
        <v>1141.8869999999997</v>
      </c>
      <c r="AH42" s="30">
        <f t="shared" si="82"/>
        <v>2117.402</v>
      </c>
    </row>
    <row r="43" spans="2:35" x14ac:dyDescent="0.2">
      <c r="B43" s="1" t="s">
        <v>109</v>
      </c>
      <c r="V43" s="30">
        <v>62.625</v>
      </c>
      <c r="W43" s="30">
        <v>62.761000000000003</v>
      </c>
      <c r="X43" s="30">
        <v>61.603999999999999</v>
      </c>
      <c r="Y43" s="30">
        <v>59.488999999999997</v>
      </c>
      <c r="AG43" s="30">
        <v>62.363999999999997</v>
      </c>
      <c r="AH43" s="30">
        <f t="shared" si="79"/>
        <v>62.625</v>
      </c>
    </row>
    <row r="44" spans="2:35" x14ac:dyDescent="0.2">
      <c r="B44" s="1" t="s">
        <v>110</v>
      </c>
      <c r="V44" s="30">
        <v>41.744999999999997</v>
      </c>
      <c r="W44" s="30">
        <v>45.247999999999998</v>
      </c>
      <c r="X44" s="30">
        <v>46.417999999999999</v>
      </c>
      <c r="Y44" s="30">
        <v>43.484999999999999</v>
      </c>
      <c r="AG44" s="30">
        <v>34.587000000000003</v>
      </c>
      <c r="AH44" s="30">
        <f t="shared" si="79"/>
        <v>41.744999999999997</v>
      </c>
    </row>
    <row r="45" spans="2:35" x14ac:dyDescent="0.2">
      <c r="B45" s="1" t="s">
        <v>111</v>
      </c>
      <c r="V45" s="30">
        <f>57.775+20.608</f>
        <v>78.382999999999996</v>
      </c>
      <c r="W45" s="30">
        <f>57.775+18.313</f>
        <v>76.087999999999994</v>
      </c>
      <c r="X45" s="30">
        <f>16.018+57.779</f>
        <v>73.796999999999997</v>
      </c>
      <c r="Y45" s="30">
        <f>57.779+13.723</f>
        <v>71.50200000000001</v>
      </c>
      <c r="AG45" s="30">
        <f>55.83+26.275</f>
        <v>82.10499999999999</v>
      </c>
      <c r="AH45" s="30">
        <f t="shared" si="79"/>
        <v>78.382999999999996</v>
      </c>
    </row>
    <row r="46" spans="2:35" x14ac:dyDescent="0.2">
      <c r="B46" s="1" t="s">
        <v>112</v>
      </c>
      <c r="V46" s="30">
        <v>1.9390000000000001</v>
      </c>
      <c r="W46" s="30">
        <v>1.9630000000000001</v>
      </c>
      <c r="X46" s="30">
        <v>2.1629999999999998</v>
      </c>
      <c r="Y46" s="30">
        <v>1.657</v>
      </c>
      <c r="AG46" s="30">
        <v>0.997</v>
      </c>
      <c r="AH46" s="30">
        <f t="shared" si="79"/>
        <v>1.9390000000000001</v>
      </c>
    </row>
    <row r="47" spans="2:35" x14ac:dyDescent="0.2">
      <c r="B47" s="1" t="s">
        <v>113</v>
      </c>
      <c r="V47" s="30">
        <v>147.494</v>
      </c>
      <c r="W47" s="30">
        <v>152.17400000000001</v>
      </c>
      <c r="X47" s="30">
        <v>159.102</v>
      </c>
      <c r="Y47" s="30">
        <v>168.798</v>
      </c>
      <c r="AG47" s="30">
        <v>85.555000000000007</v>
      </c>
      <c r="AH47" s="30">
        <f t="shared" si="79"/>
        <v>147.494</v>
      </c>
    </row>
    <row r="48" spans="2:35" x14ac:dyDescent="0.2">
      <c r="B48" s="1" t="s">
        <v>114</v>
      </c>
      <c r="C48" s="30">
        <f t="shared" ref="C48:V48" si="83">C42+SUM(C43:C47)</f>
        <v>0</v>
      </c>
      <c r="D48" s="30">
        <f t="shared" si="83"/>
        <v>0</v>
      </c>
      <c r="E48" s="30">
        <f t="shared" si="83"/>
        <v>0</v>
      </c>
      <c r="F48" s="30">
        <f t="shared" si="83"/>
        <v>0</v>
      </c>
      <c r="G48" s="30">
        <f t="shared" si="83"/>
        <v>0</v>
      </c>
      <c r="H48" s="30">
        <f t="shared" si="83"/>
        <v>0</v>
      </c>
      <c r="I48" s="30">
        <f t="shared" si="83"/>
        <v>0</v>
      </c>
      <c r="J48" s="30">
        <f t="shared" si="83"/>
        <v>0</v>
      </c>
      <c r="K48" s="30">
        <f t="shared" si="83"/>
        <v>0</v>
      </c>
      <c r="L48" s="30">
        <f t="shared" si="83"/>
        <v>0</v>
      </c>
      <c r="M48" s="30">
        <f t="shared" si="83"/>
        <v>0</v>
      </c>
      <c r="N48" s="30">
        <f t="shared" si="83"/>
        <v>0</v>
      </c>
      <c r="O48" s="30">
        <f t="shared" si="83"/>
        <v>0</v>
      </c>
      <c r="P48" s="30">
        <f t="shared" si="83"/>
        <v>0</v>
      </c>
      <c r="Q48" s="30">
        <f t="shared" si="83"/>
        <v>0</v>
      </c>
      <c r="R48" s="30">
        <f t="shared" si="83"/>
        <v>0</v>
      </c>
      <c r="S48" s="30">
        <f t="shared" si="83"/>
        <v>0</v>
      </c>
      <c r="T48" s="30">
        <f t="shared" si="83"/>
        <v>0</v>
      </c>
      <c r="U48" s="30">
        <f t="shared" si="83"/>
        <v>0</v>
      </c>
      <c r="V48" s="30">
        <f t="shared" si="83"/>
        <v>2449.5880000000002</v>
      </c>
      <c r="W48" s="30">
        <f>W42+SUM(W43:W47)</f>
        <v>2434.5410000000002</v>
      </c>
      <c r="X48" s="30">
        <f>X42+SUM(X43:X47)</f>
        <v>2451.598</v>
      </c>
      <c r="Y48" s="30">
        <f>Y42+SUM(Y43:Y47)</f>
        <v>2467.1859999999997</v>
      </c>
      <c r="AG48" s="30">
        <f>AG42+SUM(AG43:AG47)</f>
        <v>1407.4949999999997</v>
      </c>
      <c r="AH48" s="30">
        <f>AH42+SUM(AH43:AH47)</f>
        <v>2449.5880000000002</v>
      </c>
    </row>
    <row r="50" spans="2:35" x14ac:dyDescent="0.2">
      <c r="B50" s="1" t="s">
        <v>115</v>
      </c>
      <c r="V50" s="30">
        <v>5.234</v>
      </c>
      <c r="W50" s="30">
        <v>6.2039999999999997</v>
      </c>
      <c r="X50" s="30">
        <v>7.3029999999999999</v>
      </c>
      <c r="Y50" s="30">
        <v>7.734</v>
      </c>
      <c r="AG50" s="30">
        <v>4.1440000000000001</v>
      </c>
      <c r="AH50" s="30">
        <f>V50</f>
        <v>5.234</v>
      </c>
    </row>
    <row r="51" spans="2:35" x14ac:dyDescent="0.2">
      <c r="B51" s="1" t="s">
        <v>116</v>
      </c>
      <c r="V51" s="30">
        <v>112.568</v>
      </c>
      <c r="W51" s="30">
        <v>87.716999999999999</v>
      </c>
      <c r="X51" s="30">
        <v>83.805999999999997</v>
      </c>
      <c r="Y51" s="30">
        <v>84.442999999999998</v>
      </c>
      <c r="AG51" s="30">
        <v>70.209999999999994</v>
      </c>
      <c r="AH51" s="30">
        <f t="shared" ref="AH51:AH54" si="84">V51</f>
        <v>112.568</v>
      </c>
    </row>
    <row r="52" spans="2:35" x14ac:dyDescent="0.2">
      <c r="B52" s="1" t="s">
        <v>117</v>
      </c>
      <c r="V52" s="30">
        <v>8.0839999999999996</v>
      </c>
      <c r="W52" s="30">
        <v>8.6709999999999994</v>
      </c>
      <c r="X52" s="30">
        <v>9.1630000000000003</v>
      </c>
      <c r="Y52" s="30">
        <v>8.6449999999999996</v>
      </c>
      <c r="AG52" s="30">
        <v>2.343</v>
      </c>
      <c r="AH52" s="30">
        <f t="shared" si="84"/>
        <v>8.0839999999999996</v>
      </c>
    </row>
    <row r="53" spans="2:35" x14ac:dyDescent="0.2">
      <c r="B53" s="1" t="s">
        <v>118</v>
      </c>
      <c r="V53" s="30">
        <v>48.847999999999999</v>
      </c>
      <c r="W53" s="30">
        <v>49.216000000000001</v>
      </c>
      <c r="X53" s="30">
        <v>73.915999999999997</v>
      </c>
      <c r="Y53" s="30">
        <v>52.826000000000001</v>
      </c>
      <c r="AG53" s="30">
        <v>56.44</v>
      </c>
      <c r="AH53" s="30">
        <f t="shared" si="84"/>
        <v>48.847999999999999</v>
      </c>
    </row>
    <row r="54" spans="2:35" x14ac:dyDescent="0.2">
      <c r="B54" s="1" t="s">
        <v>119</v>
      </c>
      <c r="V54" s="30">
        <v>352.00099999999998</v>
      </c>
      <c r="W54" s="30">
        <v>351.91399999999999</v>
      </c>
      <c r="X54" s="30">
        <v>350.709</v>
      </c>
      <c r="Y54" s="30">
        <v>364.15899999999999</v>
      </c>
      <c r="AG54" s="30">
        <v>221.404</v>
      </c>
      <c r="AH54" s="30">
        <f t="shared" si="84"/>
        <v>352.00099999999998</v>
      </c>
    </row>
    <row r="55" spans="2:35" x14ac:dyDescent="0.2">
      <c r="B55" s="1" t="s">
        <v>120</v>
      </c>
      <c r="C55" s="30">
        <f t="shared" ref="C55:V55" si="85">SUM(C50:C54)</f>
        <v>0</v>
      </c>
      <c r="D55" s="30">
        <f t="shared" si="85"/>
        <v>0</v>
      </c>
      <c r="E55" s="30">
        <f t="shared" si="85"/>
        <v>0</v>
      </c>
      <c r="F55" s="30">
        <f t="shared" si="85"/>
        <v>0</v>
      </c>
      <c r="G55" s="30">
        <f t="shared" si="85"/>
        <v>0</v>
      </c>
      <c r="H55" s="30">
        <f t="shared" si="85"/>
        <v>0</v>
      </c>
      <c r="I55" s="30">
        <f t="shared" si="85"/>
        <v>0</v>
      </c>
      <c r="J55" s="30">
        <f t="shared" si="85"/>
        <v>0</v>
      </c>
      <c r="K55" s="30">
        <f t="shared" si="85"/>
        <v>0</v>
      </c>
      <c r="L55" s="30">
        <f t="shared" si="85"/>
        <v>0</v>
      </c>
      <c r="M55" s="30">
        <f t="shared" si="85"/>
        <v>0</v>
      </c>
      <c r="N55" s="30">
        <f t="shared" si="85"/>
        <v>0</v>
      </c>
      <c r="O55" s="30">
        <f t="shared" si="85"/>
        <v>0</v>
      </c>
      <c r="P55" s="30">
        <f t="shared" si="85"/>
        <v>0</v>
      </c>
      <c r="Q55" s="30">
        <f t="shared" si="85"/>
        <v>0</v>
      </c>
      <c r="R55" s="30">
        <f t="shared" si="85"/>
        <v>0</v>
      </c>
      <c r="S55" s="30">
        <f t="shared" si="85"/>
        <v>0</v>
      </c>
      <c r="T55" s="30">
        <f t="shared" si="85"/>
        <v>0</v>
      </c>
      <c r="U55" s="30">
        <f t="shared" si="85"/>
        <v>0</v>
      </c>
      <c r="V55" s="30">
        <f t="shared" si="85"/>
        <v>526.7349999999999</v>
      </c>
      <c r="W55" s="30">
        <f>SUM(W50:W54)</f>
        <v>503.72199999999998</v>
      </c>
      <c r="X55" s="30">
        <f>SUM(X50:X54)</f>
        <v>524.89699999999993</v>
      </c>
      <c r="Y55" s="30">
        <f>SUM(Y50:Y54)</f>
        <v>517.80700000000002</v>
      </c>
      <c r="AG55" s="30">
        <f>SUM(AG50:AG54)</f>
        <v>354.541</v>
      </c>
      <c r="AH55" s="30">
        <f>SUM(AH50:AH54)</f>
        <v>526.7349999999999</v>
      </c>
    </row>
    <row r="56" spans="2:35" x14ac:dyDescent="0.2">
      <c r="B56" s="1" t="s">
        <v>112</v>
      </c>
      <c r="V56" s="30">
        <v>8.1000000000000003E-2</v>
      </c>
      <c r="W56" s="30">
        <v>9.2999999999999999E-2</v>
      </c>
      <c r="X56" s="30">
        <v>9.5000000000000001E-2</v>
      </c>
      <c r="Y56" s="30">
        <v>0.40600000000000003</v>
      </c>
      <c r="AG56" s="30">
        <v>0.77300000000000002</v>
      </c>
      <c r="AH56" s="30">
        <f>W56</f>
        <v>9.2999999999999999E-2</v>
      </c>
    </row>
    <row r="57" spans="2:35" x14ac:dyDescent="0.2">
      <c r="B57" s="1" t="s">
        <v>117</v>
      </c>
      <c r="V57" s="30">
        <v>38.707000000000001</v>
      </c>
      <c r="W57" s="30">
        <v>40.279000000000003</v>
      </c>
      <c r="X57" s="30">
        <v>40.436999999999998</v>
      </c>
      <c r="Y57" s="30">
        <v>37.261000000000003</v>
      </c>
      <c r="AG57" s="30">
        <v>39.094999999999999</v>
      </c>
      <c r="AH57" s="30">
        <f>V57</f>
        <v>38.707000000000001</v>
      </c>
    </row>
    <row r="58" spans="2:35" x14ac:dyDescent="0.2">
      <c r="B58" s="1" t="s">
        <v>119</v>
      </c>
      <c r="V58" s="30">
        <v>23.178999999999998</v>
      </c>
      <c r="W58" s="30">
        <v>23.555</v>
      </c>
      <c r="X58" s="30">
        <v>24.462</v>
      </c>
      <c r="Y58" s="30">
        <v>34.014000000000003</v>
      </c>
      <c r="AG58" s="30">
        <v>16.547000000000001</v>
      </c>
      <c r="AH58" s="30">
        <f t="shared" ref="AH58" si="86">V58</f>
        <v>23.178999999999998</v>
      </c>
    </row>
    <row r="59" spans="2:35" s="2" customFormat="1" x14ac:dyDescent="0.2">
      <c r="B59" s="2" t="s">
        <v>121</v>
      </c>
      <c r="V59" s="31">
        <v>1136.521</v>
      </c>
      <c r="W59" s="31">
        <v>1137.3610000000001</v>
      </c>
      <c r="X59" s="31">
        <v>1138.2</v>
      </c>
      <c r="Y59" s="31">
        <v>1139.0419999999999</v>
      </c>
      <c r="Z59" s="53"/>
      <c r="AG59" s="31">
        <v>937.72900000000004</v>
      </c>
      <c r="AH59" s="31">
        <f>V59</f>
        <v>1136.521</v>
      </c>
      <c r="AI59" s="52"/>
    </row>
    <row r="60" spans="2:35" x14ac:dyDescent="0.2">
      <c r="B60" s="1" t="s">
        <v>122</v>
      </c>
      <c r="V60" s="30">
        <v>57.664999999999999</v>
      </c>
      <c r="W60" s="31">
        <v>56.652000000000001</v>
      </c>
      <c r="X60" s="30">
        <v>55.338999999999999</v>
      </c>
      <c r="Y60" s="30">
        <v>54.374000000000002</v>
      </c>
      <c r="AG60" s="30">
        <v>59.128999999999998</v>
      </c>
      <c r="AH60" s="30">
        <f t="shared" ref="AH60" si="87">V60</f>
        <v>57.664999999999999</v>
      </c>
    </row>
    <row r="61" spans="2:35" x14ac:dyDescent="0.2">
      <c r="B61" s="1" t="s">
        <v>123</v>
      </c>
      <c r="C61" s="30">
        <f t="shared" ref="C61:V61" si="88">C55+SUM(C56:C60)</f>
        <v>0</v>
      </c>
      <c r="D61" s="30">
        <f t="shared" si="88"/>
        <v>0</v>
      </c>
      <c r="E61" s="30">
        <f t="shared" si="88"/>
        <v>0</v>
      </c>
      <c r="F61" s="30">
        <f t="shared" si="88"/>
        <v>0</v>
      </c>
      <c r="G61" s="30">
        <f t="shared" si="88"/>
        <v>0</v>
      </c>
      <c r="H61" s="30">
        <f t="shared" si="88"/>
        <v>0</v>
      </c>
      <c r="I61" s="30">
        <f t="shared" si="88"/>
        <v>0</v>
      </c>
      <c r="J61" s="30">
        <f t="shared" si="88"/>
        <v>0</v>
      </c>
      <c r="K61" s="30">
        <f t="shared" si="88"/>
        <v>0</v>
      </c>
      <c r="L61" s="30">
        <f t="shared" si="88"/>
        <v>0</v>
      </c>
      <c r="M61" s="30">
        <f t="shared" si="88"/>
        <v>0</v>
      </c>
      <c r="N61" s="30">
        <f t="shared" si="88"/>
        <v>0</v>
      </c>
      <c r="O61" s="30">
        <f t="shared" si="88"/>
        <v>0</v>
      </c>
      <c r="P61" s="30">
        <f t="shared" si="88"/>
        <v>0</v>
      </c>
      <c r="Q61" s="30">
        <f t="shared" si="88"/>
        <v>0</v>
      </c>
      <c r="R61" s="30">
        <f t="shared" si="88"/>
        <v>0</v>
      </c>
      <c r="S61" s="30">
        <f t="shared" si="88"/>
        <v>0</v>
      </c>
      <c r="T61" s="30">
        <f t="shared" si="88"/>
        <v>0</v>
      </c>
      <c r="U61" s="30">
        <f t="shared" si="88"/>
        <v>0</v>
      </c>
      <c r="V61" s="30">
        <f t="shared" si="88"/>
        <v>1782.8879999999999</v>
      </c>
      <c r="W61" s="30">
        <f>W55+SUM(W56:W60)</f>
        <v>1761.662</v>
      </c>
      <c r="X61" s="30">
        <f>X55+SUM(X56:X60)</f>
        <v>1783.4299999999998</v>
      </c>
      <c r="Y61" s="30">
        <f>Y55+SUM(Y56:Y60)</f>
        <v>1782.904</v>
      </c>
      <c r="AG61" s="30">
        <f>AG55+SUM(AG56:AG60)</f>
        <v>1407.8139999999999</v>
      </c>
      <c r="AH61" s="30">
        <f>AH55+SUM(AH56:AH60)</f>
        <v>1782.8999999999999</v>
      </c>
    </row>
    <row r="63" spans="2:35" x14ac:dyDescent="0.2">
      <c r="B63" s="1" t="s">
        <v>124</v>
      </c>
      <c r="V63" s="1">
        <v>666.7</v>
      </c>
      <c r="W63" s="30">
        <v>672.87900000000002</v>
      </c>
      <c r="X63" s="30">
        <v>668.16800000000001</v>
      </c>
      <c r="Y63" s="30">
        <v>684.28200000000004</v>
      </c>
      <c r="AG63" s="1">
        <v>-5.0330000000000004</v>
      </c>
      <c r="AH63" s="1">
        <f>V63</f>
        <v>666.7</v>
      </c>
    </row>
    <row r="64" spans="2:35" x14ac:dyDescent="0.2">
      <c r="B64" s="1" t="s">
        <v>125</v>
      </c>
      <c r="C64" s="30">
        <f t="shared" ref="C64" si="89">C63+C61</f>
        <v>0</v>
      </c>
      <c r="D64" s="30">
        <f t="shared" ref="D64" si="90">D63+D61</f>
        <v>0</v>
      </c>
      <c r="E64" s="30">
        <f t="shared" ref="E64" si="91">E63+E61</f>
        <v>0</v>
      </c>
      <c r="F64" s="30">
        <f t="shared" ref="F64" si="92">F63+F61</f>
        <v>0</v>
      </c>
      <c r="G64" s="30">
        <f t="shared" ref="G64" si="93">G63+G61</f>
        <v>0</v>
      </c>
      <c r="H64" s="30">
        <f t="shared" ref="H64" si="94">H63+H61</f>
        <v>0</v>
      </c>
      <c r="I64" s="30">
        <f t="shared" ref="I64" si="95">I63+I61</f>
        <v>0</v>
      </c>
      <c r="J64" s="30">
        <f t="shared" ref="J64" si="96">J63+J61</f>
        <v>0</v>
      </c>
      <c r="K64" s="30">
        <f t="shared" ref="K64" si="97">K63+K61</f>
        <v>0</v>
      </c>
      <c r="L64" s="30">
        <f t="shared" ref="L64" si="98">L63+L61</f>
        <v>0</v>
      </c>
      <c r="M64" s="30">
        <f t="shared" ref="M64" si="99">M63+M61</f>
        <v>0</v>
      </c>
      <c r="N64" s="30">
        <f t="shared" ref="N64" si="100">N63+N61</f>
        <v>0</v>
      </c>
      <c r="O64" s="30">
        <f t="shared" ref="O64" si="101">O63+O61</f>
        <v>0</v>
      </c>
      <c r="P64" s="30">
        <f t="shared" ref="P64" si="102">P63+P61</f>
        <v>0</v>
      </c>
      <c r="Q64" s="30">
        <f t="shared" ref="Q64" si="103">Q63+Q61</f>
        <v>0</v>
      </c>
      <c r="R64" s="30">
        <f t="shared" ref="R64" si="104">R63+R61</f>
        <v>0</v>
      </c>
      <c r="S64" s="30">
        <f t="shared" ref="S64" si="105">S63+S61</f>
        <v>0</v>
      </c>
      <c r="T64" s="30">
        <f t="shared" ref="T64" si="106">T63+T61</f>
        <v>0</v>
      </c>
      <c r="U64" s="30">
        <f t="shared" ref="U64" si="107">U63+U61</f>
        <v>0</v>
      </c>
      <c r="V64" s="30">
        <f t="shared" ref="V64" si="108">V63+V61</f>
        <v>2449.5879999999997</v>
      </c>
      <c r="W64" s="30">
        <f t="shared" ref="W64:Y64" si="109">W63+W61</f>
        <v>2434.5410000000002</v>
      </c>
      <c r="X64" s="30">
        <f t="shared" ref="X64" si="110">X63+X61</f>
        <v>2451.598</v>
      </c>
      <c r="Y64" s="30">
        <f t="shared" si="109"/>
        <v>2467.1860000000001</v>
      </c>
      <c r="AF64" s="47"/>
      <c r="AG64" s="30">
        <f>AG63+AG61</f>
        <v>1402.7809999999999</v>
      </c>
      <c r="AH64" s="30">
        <f t="shared" ref="AH64" si="111">AH63+AH61</f>
        <v>2449.6</v>
      </c>
    </row>
    <row r="65" spans="2:35" x14ac:dyDescent="0.2">
      <c r="AF65" s="47"/>
    </row>
    <row r="66" spans="2:35" x14ac:dyDescent="0.2">
      <c r="B66" s="1" t="s">
        <v>126</v>
      </c>
      <c r="C66" s="30">
        <f t="shared" ref="C66:V66" si="112">C48-C61</f>
        <v>0</v>
      </c>
      <c r="D66" s="30">
        <f t="shared" si="112"/>
        <v>0</v>
      </c>
      <c r="E66" s="30">
        <f t="shared" si="112"/>
        <v>0</v>
      </c>
      <c r="F66" s="30">
        <f t="shared" si="112"/>
        <v>0</v>
      </c>
      <c r="G66" s="30">
        <f t="shared" si="112"/>
        <v>0</v>
      </c>
      <c r="H66" s="30">
        <f t="shared" si="112"/>
        <v>0</v>
      </c>
      <c r="I66" s="30">
        <f t="shared" si="112"/>
        <v>0</v>
      </c>
      <c r="J66" s="30">
        <f t="shared" si="112"/>
        <v>0</v>
      </c>
      <c r="K66" s="30">
        <f t="shared" si="112"/>
        <v>0</v>
      </c>
      <c r="L66" s="30">
        <f t="shared" si="112"/>
        <v>0</v>
      </c>
      <c r="M66" s="30">
        <f t="shared" si="112"/>
        <v>0</v>
      </c>
      <c r="N66" s="30">
        <f t="shared" si="112"/>
        <v>0</v>
      </c>
      <c r="O66" s="30">
        <f t="shared" si="112"/>
        <v>0</v>
      </c>
      <c r="P66" s="30">
        <f t="shared" si="112"/>
        <v>0</v>
      </c>
      <c r="Q66" s="30">
        <f t="shared" si="112"/>
        <v>0</v>
      </c>
      <c r="R66" s="30">
        <f t="shared" si="112"/>
        <v>0</v>
      </c>
      <c r="S66" s="30">
        <f t="shared" si="112"/>
        <v>0</v>
      </c>
      <c r="T66" s="30">
        <f t="shared" si="112"/>
        <v>0</v>
      </c>
      <c r="U66" s="30">
        <f t="shared" si="112"/>
        <v>0</v>
      </c>
      <c r="V66" s="30">
        <f t="shared" si="112"/>
        <v>666.70000000000027</v>
      </c>
      <c r="W66" s="30">
        <f>W48-W61</f>
        <v>672.87900000000013</v>
      </c>
      <c r="X66" s="30">
        <f t="shared" ref="X66:Y66" si="113">X48-X61</f>
        <v>668.16800000000012</v>
      </c>
      <c r="Y66" s="30">
        <f t="shared" si="113"/>
        <v>684.2819999999997</v>
      </c>
      <c r="AF66" s="47"/>
      <c r="AG66" s="30">
        <f t="shared" ref="AG66:AH66" si="114">AG48-AG61</f>
        <v>-0.31900000000018736</v>
      </c>
      <c r="AH66" s="30">
        <f t="shared" si="114"/>
        <v>666.68800000000033</v>
      </c>
    </row>
    <row r="67" spans="2:35" x14ac:dyDescent="0.2">
      <c r="B67" s="1" t="s">
        <v>127</v>
      </c>
      <c r="C67" s="1" t="e">
        <f t="shared" ref="C67:U67" si="115">C66/C23</f>
        <v>#DIV/0!</v>
      </c>
      <c r="D67" s="1" t="e">
        <f t="shared" si="115"/>
        <v>#DIV/0!</v>
      </c>
      <c r="E67" s="1" t="e">
        <f t="shared" si="115"/>
        <v>#DIV/0!</v>
      </c>
      <c r="F67" s="1" t="e">
        <f t="shared" si="115"/>
        <v>#DIV/0!</v>
      </c>
      <c r="G67" s="1" t="e">
        <f t="shared" si="115"/>
        <v>#DIV/0!</v>
      </c>
      <c r="H67" s="1" t="e">
        <f t="shared" si="115"/>
        <v>#DIV/0!</v>
      </c>
      <c r="I67" s="1" t="e">
        <f t="shared" si="115"/>
        <v>#DIV/0!</v>
      </c>
      <c r="J67" s="1" t="e">
        <f t="shared" si="115"/>
        <v>#DIV/0!</v>
      </c>
      <c r="K67" s="1" t="e">
        <f t="shared" si="115"/>
        <v>#DIV/0!</v>
      </c>
      <c r="L67" s="1" t="e">
        <f t="shared" si="115"/>
        <v>#DIV/0!</v>
      </c>
      <c r="M67" s="1" t="e">
        <f t="shared" si="115"/>
        <v>#DIV/0!</v>
      </c>
      <c r="N67" s="1" t="e">
        <f t="shared" si="115"/>
        <v>#DIV/0!</v>
      </c>
      <c r="O67" s="1" t="e">
        <f t="shared" si="115"/>
        <v>#DIV/0!</v>
      </c>
      <c r="P67" s="1" t="e">
        <f t="shared" si="115"/>
        <v>#DIV/0!</v>
      </c>
      <c r="Q67" s="1" t="e">
        <f t="shared" si="115"/>
        <v>#DIV/0!</v>
      </c>
      <c r="R67" s="1">
        <f t="shared" si="115"/>
        <v>0</v>
      </c>
      <c r="S67" s="1">
        <f t="shared" si="115"/>
        <v>0</v>
      </c>
      <c r="T67" s="1">
        <f t="shared" si="115"/>
        <v>0</v>
      </c>
      <c r="U67" s="1">
        <f t="shared" si="115"/>
        <v>0</v>
      </c>
      <c r="V67" s="1">
        <f>V66/V23</f>
        <v>10.326342790096973</v>
      </c>
      <c r="W67" s="1">
        <f>W66/W23</f>
        <v>9.9381740323846604</v>
      </c>
      <c r="X67" s="1">
        <f t="shared" ref="X67:Y67" si="116">X66/X23</f>
        <v>9.7779065041031146</v>
      </c>
      <c r="Y67" s="1">
        <f t="shared" si="116"/>
        <v>9.929101045342879</v>
      </c>
      <c r="AG67" s="1">
        <f t="shared" ref="AG67:AH67" si="117">AG66/AG23</f>
        <v>-5.4081909238584934E-3</v>
      </c>
      <c r="AH67" s="1">
        <f t="shared" si="117"/>
        <v>10.326156925219998</v>
      </c>
    </row>
    <row r="69" spans="2:35" s="38" customFormat="1" x14ac:dyDescent="0.2">
      <c r="B69" s="38" t="s">
        <v>5</v>
      </c>
      <c r="C69" s="34">
        <f t="shared" ref="C69:V69" si="118">C37+C38</f>
        <v>0</v>
      </c>
      <c r="D69" s="34">
        <f t="shared" si="118"/>
        <v>0</v>
      </c>
      <c r="E69" s="34">
        <f t="shared" si="118"/>
        <v>0</v>
      </c>
      <c r="F69" s="34">
        <f t="shared" si="118"/>
        <v>0</v>
      </c>
      <c r="G69" s="34">
        <f t="shared" si="118"/>
        <v>0</v>
      </c>
      <c r="H69" s="34">
        <f t="shared" si="118"/>
        <v>0</v>
      </c>
      <c r="I69" s="34">
        <f t="shared" si="118"/>
        <v>0</v>
      </c>
      <c r="J69" s="34">
        <f t="shared" si="118"/>
        <v>0</v>
      </c>
      <c r="K69" s="34">
        <f t="shared" si="118"/>
        <v>0</v>
      </c>
      <c r="L69" s="34">
        <f t="shared" si="118"/>
        <v>0</v>
      </c>
      <c r="M69" s="34">
        <f t="shared" si="118"/>
        <v>0</v>
      </c>
      <c r="N69" s="34">
        <f t="shared" si="118"/>
        <v>0</v>
      </c>
      <c r="O69" s="34">
        <f t="shared" si="118"/>
        <v>0</v>
      </c>
      <c r="P69" s="34">
        <f t="shared" si="118"/>
        <v>0</v>
      </c>
      <c r="Q69" s="34">
        <f t="shared" si="118"/>
        <v>0</v>
      </c>
      <c r="R69" s="34">
        <f t="shared" si="118"/>
        <v>0</v>
      </c>
      <c r="S69" s="34">
        <f t="shared" si="118"/>
        <v>0</v>
      </c>
      <c r="T69" s="34">
        <f t="shared" si="118"/>
        <v>0</v>
      </c>
      <c r="U69" s="34">
        <f t="shared" si="118"/>
        <v>0</v>
      </c>
      <c r="V69" s="34">
        <f t="shared" si="118"/>
        <v>1825.923</v>
      </c>
      <c r="W69" s="34">
        <f>W37+W38</f>
        <v>1828.6950000000002</v>
      </c>
      <c r="X69" s="34">
        <f>X37+X38</f>
        <v>1795.6120000000001</v>
      </c>
      <c r="Y69" s="34">
        <f t="shared" ref="Y69" si="119">Y37+Y38</f>
        <v>1787.5319999999999</v>
      </c>
      <c r="Z69" s="49"/>
      <c r="AG69" s="34">
        <f t="shared" ref="AG69:AH69" si="120">AG37+AG38</f>
        <v>957.74199999999996</v>
      </c>
      <c r="AH69" s="34">
        <f t="shared" si="120"/>
        <v>1825.923</v>
      </c>
      <c r="AI69" s="54"/>
    </row>
    <row r="70" spans="2:35" s="38" customFormat="1" x14ac:dyDescent="0.2">
      <c r="B70" s="38" t="s">
        <v>6</v>
      </c>
      <c r="C70" s="34">
        <f t="shared" ref="C70:V70" si="121">C59</f>
        <v>0</v>
      </c>
      <c r="D70" s="34">
        <f t="shared" si="121"/>
        <v>0</v>
      </c>
      <c r="E70" s="34">
        <f t="shared" si="121"/>
        <v>0</v>
      </c>
      <c r="F70" s="34">
        <f t="shared" si="121"/>
        <v>0</v>
      </c>
      <c r="G70" s="34">
        <f t="shared" si="121"/>
        <v>0</v>
      </c>
      <c r="H70" s="34">
        <f t="shared" si="121"/>
        <v>0</v>
      </c>
      <c r="I70" s="34">
        <f t="shared" si="121"/>
        <v>0</v>
      </c>
      <c r="J70" s="34">
        <f t="shared" si="121"/>
        <v>0</v>
      </c>
      <c r="K70" s="34">
        <f t="shared" si="121"/>
        <v>0</v>
      </c>
      <c r="L70" s="34">
        <f t="shared" si="121"/>
        <v>0</v>
      </c>
      <c r="M70" s="34">
        <f t="shared" si="121"/>
        <v>0</v>
      </c>
      <c r="N70" s="34">
        <f t="shared" si="121"/>
        <v>0</v>
      </c>
      <c r="O70" s="34">
        <f t="shared" si="121"/>
        <v>0</v>
      </c>
      <c r="P70" s="34">
        <f t="shared" si="121"/>
        <v>0</v>
      </c>
      <c r="Q70" s="34">
        <f t="shared" si="121"/>
        <v>0</v>
      </c>
      <c r="R70" s="34">
        <f t="shared" si="121"/>
        <v>0</v>
      </c>
      <c r="S70" s="34">
        <f t="shared" si="121"/>
        <v>0</v>
      </c>
      <c r="T70" s="34">
        <f t="shared" si="121"/>
        <v>0</v>
      </c>
      <c r="U70" s="34">
        <f t="shared" si="121"/>
        <v>0</v>
      </c>
      <c r="V70" s="34">
        <f t="shared" si="121"/>
        <v>1136.521</v>
      </c>
      <c r="W70" s="34">
        <f>W59</f>
        <v>1137.3610000000001</v>
      </c>
      <c r="X70" s="34">
        <f>X59</f>
        <v>1138.2</v>
      </c>
      <c r="Y70" s="34">
        <f t="shared" ref="Y70" si="122">Y59</f>
        <v>1139.0419999999999</v>
      </c>
      <c r="Z70" s="49"/>
      <c r="AG70" s="34">
        <f t="shared" ref="AG70:AH70" si="123">AG59</f>
        <v>937.72900000000004</v>
      </c>
      <c r="AH70" s="34">
        <f t="shared" si="123"/>
        <v>1136.521</v>
      </c>
      <c r="AI70" s="54"/>
    </row>
    <row r="71" spans="2:35" x14ac:dyDescent="0.2">
      <c r="B71" s="1" t="s">
        <v>7</v>
      </c>
      <c r="C71" s="30">
        <f t="shared" ref="C71:V71" si="124">C69-C70</f>
        <v>0</v>
      </c>
      <c r="D71" s="30">
        <f t="shared" si="124"/>
        <v>0</v>
      </c>
      <c r="E71" s="30">
        <f t="shared" si="124"/>
        <v>0</v>
      </c>
      <c r="F71" s="30">
        <f t="shared" si="124"/>
        <v>0</v>
      </c>
      <c r="G71" s="30">
        <f t="shared" si="124"/>
        <v>0</v>
      </c>
      <c r="H71" s="30">
        <f t="shared" si="124"/>
        <v>0</v>
      </c>
      <c r="I71" s="30">
        <f t="shared" si="124"/>
        <v>0</v>
      </c>
      <c r="J71" s="30">
        <f t="shared" si="124"/>
        <v>0</v>
      </c>
      <c r="K71" s="30">
        <f t="shared" si="124"/>
        <v>0</v>
      </c>
      <c r="L71" s="30">
        <f t="shared" si="124"/>
        <v>0</v>
      </c>
      <c r="M71" s="30">
        <f t="shared" si="124"/>
        <v>0</v>
      </c>
      <c r="N71" s="30">
        <f t="shared" si="124"/>
        <v>0</v>
      </c>
      <c r="O71" s="30">
        <f t="shared" si="124"/>
        <v>0</v>
      </c>
      <c r="P71" s="30">
        <f t="shared" si="124"/>
        <v>0</v>
      </c>
      <c r="Q71" s="30">
        <f t="shared" si="124"/>
        <v>0</v>
      </c>
      <c r="R71" s="30">
        <f t="shared" si="124"/>
        <v>0</v>
      </c>
      <c r="S71" s="30">
        <f t="shared" si="124"/>
        <v>0</v>
      </c>
      <c r="T71" s="30">
        <f t="shared" si="124"/>
        <v>0</v>
      </c>
      <c r="U71" s="30">
        <f t="shared" si="124"/>
        <v>0</v>
      </c>
      <c r="V71" s="30">
        <f t="shared" si="124"/>
        <v>689.40200000000004</v>
      </c>
      <c r="W71" s="30">
        <f>W69-W70</f>
        <v>691.33400000000006</v>
      </c>
      <c r="X71" s="30">
        <f>X69-X70</f>
        <v>657.41200000000003</v>
      </c>
      <c r="Y71" s="30">
        <f t="shared" ref="Y71" si="125">Y69-Y70</f>
        <v>648.49</v>
      </c>
      <c r="AG71" s="30">
        <f t="shared" ref="AG71" si="126">AG69-AG70</f>
        <v>20.01299999999992</v>
      </c>
      <c r="AH71" s="30">
        <f t="shared" ref="AH71" si="127">AH69-AH70</f>
        <v>689.40200000000004</v>
      </c>
    </row>
    <row r="73" spans="2:35" x14ac:dyDescent="0.2">
      <c r="B73" s="1" t="s">
        <v>128</v>
      </c>
      <c r="V73" s="1">
        <v>405.11</v>
      </c>
      <c r="W73" s="30">
        <v>354.93</v>
      </c>
      <c r="X73" s="1">
        <v>312.47000000000003</v>
      </c>
      <c r="Y73" s="1">
        <v>183.03</v>
      </c>
      <c r="AG73" s="1">
        <v>369.61</v>
      </c>
      <c r="AH73" s="1">
        <f>V73</f>
        <v>405.11</v>
      </c>
    </row>
    <row r="74" spans="2:35" x14ac:dyDescent="0.2">
      <c r="B74" s="1" t="s">
        <v>4</v>
      </c>
      <c r="V74" s="30">
        <f t="shared" ref="V74" si="128">V73*V23</f>
        <v>26155.129893520003</v>
      </c>
      <c r="W74" s="30">
        <f>W73*W23</f>
        <v>24031.06875486</v>
      </c>
      <c r="X74" s="30">
        <f t="shared" ref="X74:Y74" si="129">X73*X23</f>
        <v>21352.46996608</v>
      </c>
      <c r="Y74" s="30">
        <f t="shared" si="129"/>
        <v>12613.844283390001</v>
      </c>
      <c r="AG74" s="30">
        <f t="shared" ref="AG74" si="130">AG73*AG23</f>
        <v>21801.299484439998</v>
      </c>
      <c r="AH74" s="30">
        <f>AH73*AH23</f>
        <v>26155.129893520003</v>
      </c>
    </row>
    <row r="75" spans="2:35" x14ac:dyDescent="0.2">
      <c r="B75" s="1" t="s">
        <v>8</v>
      </c>
      <c r="V75" s="30">
        <f t="shared" ref="V75" si="131">V74-V71</f>
        <v>25465.727893520001</v>
      </c>
      <c r="W75" s="30">
        <f>W74-W71</f>
        <v>23339.734754860001</v>
      </c>
      <c r="X75" s="30">
        <f t="shared" ref="X75:Y75" si="132">X74-X71</f>
        <v>20695.057966079999</v>
      </c>
      <c r="Y75" s="30">
        <f t="shared" si="132"/>
        <v>11965.354283390001</v>
      </c>
      <c r="AG75" s="30">
        <f t="shared" ref="AG75" si="133">AG74-AG71</f>
        <v>21781.286484439999</v>
      </c>
      <c r="AH75" s="30">
        <f>AH74-AH71</f>
        <v>25465.727893520001</v>
      </c>
    </row>
    <row r="77" spans="2:35" x14ac:dyDescent="0.2">
      <c r="B77" s="1" t="s">
        <v>21</v>
      </c>
      <c r="V77" s="40">
        <f>V73/V67</f>
        <v>39.230733303614812</v>
      </c>
      <c r="W77" s="40">
        <f>W73/W67</f>
        <v>35.713804049256993</v>
      </c>
      <c r="X77" s="40">
        <f t="shared" ref="X77:Y77" si="134">X73/X67</f>
        <v>31.956738374301072</v>
      </c>
      <c r="Y77" s="40">
        <f t="shared" si="134"/>
        <v>18.433692956105823</v>
      </c>
      <c r="AG77" s="48" t="s">
        <v>142</v>
      </c>
      <c r="AH77" s="40">
        <f>AH73/AH67</f>
        <v>39.231439434218089</v>
      </c>
    </row>
    <row r="78" spans="2:35" x14ac:dyDescent="0.2">
      <c r="B78" s="1" t="s">
        <v>22</v>
      </c>
      <c r="V78" s="40">
        <f t="shared" ref="V78:X78" si="135">V74/SUM(S6:V6)</f>
        <v>29.93324409694867</v>
      </c>
      <c r="W78" s="40">
        <f t="shared" si="135"/>
        <v>24.582176571414543</v>
      </c>
      <c r="X78" s="40">
        <f t="shared" si="135"/>
        <v>19.725254796867233</v>
      </c>
      <c r="Y78" s="40">
        <f>Y74/SUM(V6:Y6)</f>
        <v>10.606803677858297</v>
      </c>
      <c r="AG78" s="40">
        <f t="shared" ref="AG78" si="136">AG74/AG6</f>
        <v>36.927571198956599</v>
      </c>
      <c r="AH78" s="40">
        <f>AH74/AH6</f>
        <v>29.93324409694867</v>
      </c>
    </row>
    <row r="79" spans="2:35" x14ac:dyDescent="0.2">
      <c r="B79" s="1" t="s">
        <v>23</v>
      </c>
      <c r="V79" s="40">
        <f t="shared" ref="V79:X79" si="137">V75/SUM(S6:V6)</f>
        <v>29.144257828062376</v>
      </c>
      <c r="W79" s="40">
        <f t="shared" si="137"/>
        <v>23.874988113373725</v>
      </c>
      <c r="X79" s="40">
        <f t="shared" si="137"/>
        <v>19.117942423773247</v>
      </c>
      <c r="Y79" s="40">
        <f>Y75/SUM(V6:Y6)</f>
        <v>10.061497586985441</v>
      </c>
      <c r="AG79" s="40">
        <f t="shared" ref="AG79" si="138">AG75/AG6</f>
        <v>36.893672692909654</v>
      </c>
      <c r="AH79" s="40">
        <f>AH75/AH6</f>
        <v>29.144257828062376</v>
      </c>
    </row>
    <row r="80" spans="2:35" x14ac:dyDescent="0.2">
      <c r="B80" s="1" t="s">
        <v>20</v>
      </c>
      <c r="V80" s="40">
        <f t="shared" ref="V80" si="139">V73/SUM(S22:V22)</f>
        <v>-84.508678490299772</v>
      </c>
      <c r="W80" s="40">
        <f t="shared" ref="W80:X80" si="140">W73/SUM(T22:W22)</f>
        <v>-72.546524492411535</v>
      </c>
      <c r="X80" s="40">
        <f t="shared" si="140"/>
        <v>-57.695906234315359</v>
      </c>
      <c r="Y80" s="40">
        <f>Y73/SUM(V22:Y22)</f>
        <v>-33.274743486600045</v>
      </c>
      <c r="AG80" s="40">
        <f t="shared" ref="AG80" si="141">AG73/AG22</f>
        <v>-81.669936332863827</v>
      </c>
      <c r="AH80" s="40">
        <f>AH73/AH22</f>
        <v>-85.233065551478504</v>
      </c>
    </row>
    <row r="81" spans="2:35" x14ac:dyDescent="0.2">
      <c r="B81" s="1" t="s">
        <v>24</v>
      </c>
      <c r="V81" s="40"/>
      <c r="W81" s="40"/>
      <c r="X81" s="40"/>
      <c r="Y81" s="40"/>
    </row>
    <row r="82" spans="2:35" x14ac:dyDescent="0.2">
      <c r="B82" s="1" t="s">
        <v>129</v>
      </c>
    </row>
    <row r="84" spans="2:35" x14ac:dyDescent="0.2">
      <c r="B84" s="37" t="s">
        <v>152</v>
      </c>
    </row>
    <row r="86" spans="2:35" x14ac:dyDescent="0.2">
      <c r="B86" s="1" t="s">
        <v>153</v>
      </c>
    </row>
    <row r="88" spans="2:35" x14ac:dyDescent="0.2">
      <c r="B88" s="1" t="s">
        <v>154</v>
      </c>
    </row>
    <row r="90" spans="2:35" s="2" customFormat="1" x14ac:dyDescent="0.2">
      <c r="B90" s="2" t="s">
        <v>155</v>
      </c>
      <c r="Z90" s="53"/>
      <c r="AI90" s="52"/>
    </row>
  </sheetData>
  <hyperlinks>
    <hyperlink ref="W1" r:id="rId1" location="i38c3139dc7914f5e8533d7dcbc3a2a96_13" xr:uid="{E49C4A64-2AFD-4765-8FED-15375274F6C1}"/>
    <hyperlink ref="X1" r:id="rId2" xr:uid="{4E7150A9-F871-4F8F-9349-317999221213}"/>
    <hyperlink ref="Y1" r:id="rId3" xr:uid="{ECCBBB48-7DF4-4D89-B9C2-0F98891117F1}"/>
    <hyperlink ref="AH1" r:id="rId4" xr:uid="{AD1CDE78-BFA1-4502-94FA-12E996AA6832}"/>
  </hyperlinks>
  <pageMargins left="0.7" right="0.7" top="0.75" bottom="0.75" header="0.3" footer="0.3"/>
  <pageSetup paperSize="256" orientation="portrait" horizontalDpi="203" verticalDpi="203" r:id="rId5"/>
  <ignoredErrors>
    <ignoredError sqref="AF4 AF5" formulaRange="1"/>
    <ignoredError sqref="AH42 AH55 V6:V23 R6 R19 AI10 AI19:AI21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2022-12-06T21:27:23Z</dcterms:created>
  <dcterms:modified xsi:type="dcterms:W3CDTF">2023-02-01T15:59:15Z</dcterms:modified>
</cp:coreProperties>
</file>