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9DFF5D7-19E1-47E3-BB08-4F52DA3674B1}" xr6:coauthVersionLast="36" xr6:coauthVersionMax="47" xr10:uidLastSave="{00000000-0000-0000-0000-000000000000}"/>
  <bookViews>
    <workbookView xWindow="-120" yWindow="-120" windowWidth="29040" windowHeight="15720" xr2:uid="{C17CCCFF-BC06-47D8-B432-71950F7FA33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C9" i="1" l="1"/>
  <c r="C10" i="1"/>
  <c r="C7" i="1"/>
  <c r="D11" i="1"/>
  <c r="D10" i="1"/>
  <c r="D9" i="1"/>
  <c r="D7" i="1"/>
  <c r="U34" i="2" l="1"/>
  <c r="U6" i="2"/>
  <c r="N6" i="2"/>
  <c r="M6" i="2"/>
  <c r="T32" i="2"/>
  <c r="T31" i="2"/>
  <c r="T30" i="2"/>
  <c r="T29" i="2"/>
  <c r="T27" i="2"/>
  <c r="T26" i="2"/>
  <c r="T24" i="2"/>
  <c r="T21" i="2"/>
  <c r="T19" i="2"/>
  <c r="T18" i="2"/>
  <c r="T16" i="2"/>
  <c r="T15" i="2"/>
  <c r="T14" i="2"/>
  <c r="T13" i="2"/>
  <c r="T8" i="2"/>
  <c r="T7" i="2"/>
  <c r="T5" i="2"/>
  <c r="T6" i="2" s="1"/>
  <c r="T12" i="2"/>
  <c r="T11" i="2"/>
  <c r="T9" i="2"/>
  <c r="T4" i="2"/>
  <c r="F12" i="2"/>
  <c r="F27" i="2" s="1"/>
  <c r="F11" i="2"/>
  <c r="F26" i="2" s="1"/>
  <c r="F9" i="2"/>
  <c r="F6" i="2"/>
  <c r="J12" i="2"/>
  <c r="J27" i="2" s="1"/>
  <c r="J11" i="2"/>
  <c r="J26" i="2" s="1"/>
  <c r="J9" i="2"/>
  <c r="J6" i="2"/>
  <c r="J10" i="2" s="1"/>
  <c r="J17" i="2" s="1"/>
  <c r="J20" i="2" s="1"/>
  <c r="J22" i="2" s="1"/>
  <c r="J23" i="2" s="1"/>
  <c r="T10" i="2" l="1"/>
  <c r="T17" i="2" s="1"/>
  <c r="T20" i="2" s="1"/>
  <c r="T22" i="2" s="1"/>
  <c r="T23" i="2" s="1"/>
  <c r="J32" i="2"/>
  <c r="J29" i="2"/>
  <c r="J30" i="2"/>
  <c r="J31" i="2"/>
  <c r="F10" i="2"/>
  <c r="I88" i="2"/>
  <c r="I29" i="2"/>
  <c r="I27" i="2"/>
  <c r="H88" i="2"/>
  <c r="L88" i="2"/>
  <c r="L12" i="2"/>
  <c r="L27" i="2" s="1"/>
  <c r="L11" i="2"/>
  <c r="L26" i="2" s="1"/>
  <c r="L9" i="2"/>
  <c r="L10" i="2" s="1"/>
  <c r="L6" i="2"/>
  <c r="K74" i="2"/>
  <c r="K73" i="2"/>
  <c r="C11" i="1" s="1"/>
  <c r="K60" i="2"/>
  <c r="K65" i="2" s="1"/>
  <c r="K68" i="2" s="1"/>
  <c r="K45" i="2"/>
  <c r="K53" i="2" s="1"/>
  <c r="K70" i="2" s="1"/>
  <c r="K71" i="2" s="1"/>
  <c r="C34" i="1" s="1"/>
  <c r="G88" i="2"/>
  <c r="K88" i="2"/>
  <c r="I12" i="2"/>
  <c r="H12" i="2"/>
  <c r="H27" i="2" s="1"/>
  <c r="G12" i="2"/>
  <c r="G27" i="2" s="1"/>
  <c r="E12" i="2"/>
  <c r="E27" i="2" s="1"/>
  <c r="D12" i="2"/>
  <c r="C12" i="2"/>
  <c r="I11" i="2"/>
  <c r="I26" i="2" s="1"/>
  <c r="H11" i="2"/>
  <c r="H26" i="2" s="1"/>
  <c r="G11" i="2"/>
  <c r="G26" i="2" s="1"/>
  <c r="E11" i="2"/>
  <c r="E26" i="2" s="1"/>
  <c r="D11" i="2"/>
  <c r="C11" i="2"/>
  <c r="I9" i="2"/>
  <c r="H9" i="2"/>
  <c r="G9" i="2"/>
  <c r="E9" i="2"/>
  <c r="D9" i="2"/>
  <c r="C9" i="2"/>
  <c r="I6" i="2"/>
  <c r="I10" i="2" s="1"/>
  <c r="I17" i="2" s="1"/>
  <c r="I20" i="2" s="1"/>
  <c r="I22" i="2" s="1"/>
  <c r="I23" i="2" s="1"/>
  <c r="H6" i="2"/>
  <c r="H10" i="2" s="1"/>
  <c r="H17" i="2" s="1"/>
  <c r="H20" i="2" s="1"/>
  <c r="H22" i="2" s="1"/>
  <c r="H31" i="2" s="1"/>
  <c r="G6" i="2"/>
  <c r="G10" i="2" s="1"/>
  <c r="E6" i="2"/>
  <c r="D6" i="2"/>
  <c r="C6" i="2"/>
  <c r="K12" i="2"/>
  <c r="K27" i="2" s="1"/>
  <c r="K11" i="2"/>
  <c r="K26" i="2" s="1"/>
  <c r="C8" i="1"/>
  <c r="K6" i="2"/>
  <c r="K9" i="2"/>
  <c r="H29" i="2" l="1"/>
  <c r="F17" i="2"/>
  <c r="F29" i="2"/>
  <c r="K34" i="2"/>
  <c r="I30" i="2"/>
  <c r="I31" i="2"/>
  <c r="C10" i="2"/>
  <c r="C17" i="2" s="1"/>
  <c r="C20" i="2" s="1"/>
  <c r="C22" i="2" s="1"/>
  <c r="D10" i="2"/>
  <c r="D17" i="2" s="1"/>
  <c r="D20" i="2" s="1"/>
  <c r="D22" i="2" s="1"/>
  <c r="L29" i="2"/>
  <c r="L17" i="2"/>
  <c r="L20" i="2" s="1"/>
  <c r="L34" i="2"/>
  <c r="I32" i="2"/>
  <c r="I34" i="2"/>
  <c r="H35" i="2"/>
  <c r="I35" i="2"/>
  <c r="E10" i="2"/>
  <c r="H23" i="2"/>
  <c r="L32" i="2"/>
  <c r="L22" i="2"/>
  <c r="H30" i="2"/>
  <c r="H32" i="2"/>
  <c r="L35" i="2"/>
  <c r="G17" i="2"/>
  <c r="G29" i="2"/>
  <c r="K75" i="2"/>
  <c r="C12" i="1"/>
  <c r="K10" i="2"/>
  <c r="F20" i="2" l="1"/>
  <c r="F30" i="2"/>
  <c r="E17" i="2"/>
  <c r="E29" i="2"/>
  <c r="L30" i="2"/>
  <c r="L31" i="2"/>
  <c r="L23" i="2"/>
  <c r="G30" i="2"/>
  <c r="G20" i="2"/>
  <c r="K17" i="2"/>
  <c r="K29" i="2"/>
  <c r="F22" i="2" l="1"/>
  <c r="F32" i="2"/>
  <c r="E20" i="2"/>
  <c r="E30" i="2"/>
  <c r="G32" i="2"/>
  <c r="G22" i="2"/>
  <c r="K20" i="2"/>
  <c r="K30" i="2"/>
  <c r="F23" i="2" l="1"/>
  <c r="F31" i="2"/>
  <c r="E22" i="2"/>
  <c r="E32" i="2"/>
  <c r="G31" i="2"/>
  <c r="G23" i="2"/>
  <c r="K22" i="2"/>
  <c r="K32" i="2"/>
  <c r="E23" i="2" l="1"/>
  <c r="E31" i="2"/>
  <c r="K23" i="2"/>
  <c r="K31" i="2"/>
</calcChain>
</file>

<file path=xl/sharedStrings.xml><?xml version="1.0" encoding="utf-8"?>
<sst xmlns="http://schemas.openxmlformats.org/spreadsheetml/2006/main" count="110" uniqueCount="101">
  <si>
    <t>$ESTC</t>
  </si>
  <si>
    <t>Elastic NV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</si>
  <si>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</si>
  <si>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</si>
  <si>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</si>
  <si>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</si>
  <si>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</si>
  <si>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</si>
  <si>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</si>
  <si>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</si>
  <si>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American-Dutch search AI company - primary product is "Elastic Stack"</t>
  </si>
  <si>
    <t>Profile</t>
  </si>
  <si>
    <t>Management</t>
  </si>
  <si>
    <t>HQ</t>
  </si>
  <si>
    <t>Founded</t>
  </si>
  <si>
    <t>IPO</t>
  </si>
  <si>
    <t>DAU</t>
  </si>
  <si>
    <t>Update</t>
  </si>
  <si>
    <t>IR</t>
  </si>
  <si>
    <t>Valuation Metrics</t>
  </si>
  <si>
    <t>P/E</t>
  </si>
  <si>
    <t>P/B</t>
  </si>
  <si>
    <t>P/S</t>
  </si>
  <si>
    <t>Stockopedia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</si>
  <si>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</si>
  <si>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</si>
  <si>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</si>
  <si>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</si>
  <si>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</si>
  <si>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</si>
  <si>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</si>
  <si>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</si>
  <si>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</si>
  <si>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Q225</t>
  </si>
  <si>
    <t>Subscription</t>
  </si>
  <si>
    <t>Services</t>
  </si>
  <si>
    <t>Revenue</t>
  </si>
  <si>
    <t>COGS</t>
  </si>
  <si>
    <t>Gross Profit</t>
  </si>
  <si>
    <t>R&amp;D</t>
  </si>
  <si>
    <t>S&amp;M</t>
  </si>
  <si>
    <t>G&amp;A</t>
  </si>
  <si>
    <t>Restructing</t>
  </si>
  <si>
    <t>Operating Income</t>
  </si>
  <si>
    <t>Interest Expense</t>
  </si>
  <si>
    <t>Pretax Income</t>
  </si>
  <si>
    <t>Taxes</t>
  </si>
  <si>
    <t>Net Income</t>
  </si>
  <si>
    <t>EPS</t>
  </si>
  <si>
    <t>FY24</t>
  </si>
  <si>
    <t>FY23</t>
  </si>
  <si>
    <t>FY22</t>
  </si>
  <si>
    <t>FY21</t>
  </si>
  <si>
    <t>FY20</t>
  </si>
  <si>
    <t>Other Income</t>
  </si>
  <si>
    <t>Subscription Margin</t>
  </si>
  <si>
    <t>Services Margin</t>
  </si>
  <si>
    <t>Gross Margin</t>
  </si>
  <si>
    <t>Services COGS</t>
  </si>
  <si>
    <t>Subscription COGS</t>
  </si>
  <si>
    <t>Subscription GP</t>
  </si>
  <si>
    <t>Services GP</t>
  </si>
  <si>
    <t>Operating Margin</t>
  </si>
  <si>
    <t>Net Margin</t>
  </si>
  <si>
    <t>Tax Rate</t>
  </si>
  <si>
    <t>Balance Sheet</t>
  </si>
  <si>
    <t>Cashflow</t>
  </si>
  <si>
    <t>CFFO</t>
  </si>
  <si>
    <t>CapEx</t>
  </si>
  <si>
    <t>FCF</t>
  </si>
  <si>
    <t>Restricted Cash</t>
  </si>
  <si>
    <t>Marketable Securities</t>
  </si>
  <si>
    <t>A/R</t>
  </si>
  <si>
    <t>Deferred Contracts</t>
  </si>
  <si>
    <t>Prepaid Expenses</t>
  </si>
  <si>
    <t>TCA</t>
  </si>
  <si>
    <t>PP&amp;E</t>
  </si>
  <si>
    <t>Goodwill</t>
  </si>
  <si>
    <t>Operating Lease ROU</t>
  </si>
  <si>
    <t>Intangibles</t>
  </si>
  <si>
    <t>Deferred Taxes</t>
  </si>
  <si>
    <t>Other Assets</t>
  </si>
  <si>
    <t>Assets</t>
  </si>
  <si>
    <t>A/P</t>
  </si>
  <si>
    <t>Accrued Expenses</t>
  </si>
  <si>
    <t>Accrued Compensation</t>
  </si>
  <si>
    <t>Operating Lease Liabiltiies</t>
  </si>
  <si>
    <t>Deferred Revenue</t>
  </si>
  <si>
    <t>TCL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</si>
  <si>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</si>
  <si>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</si>
  <si>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</si>
  <si>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</si>
  <si>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</si>
  <si>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</si>
  <si>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</si>
  <si>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Revenue Y/Y</t>
  </si>
  <si>
    <t>Revenue Q/Q</t>
  </si>
  <si>
    <t>Q325</t>
  </si>
  <si>
    <t>Q425</t>
  </si>
  <si>
    <t>Mountain View,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</si>
</sst>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2" fillId="2" borderId="4" xfId="0" applyFont="1" applyFill="1" applyBorder="1"/>
    <xf numFmtId="0" fontId="1" fillId="0" borderId="5" xfId="0" applyFont="1" applyBorder="1" applyAlignment="1">
      <alignment horizontal="right"/>
    </xf>
    <xf numFmtId="0" fontId="2" fillId="2" borderId="6" xfId="0" applyFont="1" applyFill="1" applyBorder="1"/>
    <xf numFmtId="3" fontId="1" fillId="0" borderId="7" xfId="0" applyNumberFormat="1" applyFont="1" applyBorder="1"/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 indent="1"/>
    </xf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7" fillId="0" borderId="0" xfId="0" applyFont="1"/>
    <xf numFmtId="9" fontId="2" fillId="0" borderId="0" xfId="0" applyNumberFormat="1" applyFont="1"/>
    <xf numFmtId="15" fontId="4" fillId="0" borderId="0" xfId="0" applyNumberFormat="1" applyFont="1" applyAlignment="1">
      <alignment horizontal="right"/>
    </xf>
    <xf numFmtId="15" fontId="1" fillId="4" borderId="5" xfId="0" applyNumberFormat="1" applyFont="1" applyFill="1" applyBorder="1" applyAlignment="1">
      <alignment horizontal="center"/>
    </xf>
    <xf numFmtId="3" fontId="1" fillId="0" borderId="5" xfId="0" applyNumberFormat="1" applyFont="1" applyBorder="1" applyAlignment="1">
      <alignment horizontal="right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elastic.co/news/news-details/2024/Elastic-Reports-Third-Quarter-Fiscal-2024-Financial-Results/default.aspx" TargetMode="External"/><Relationship Id="rId2" Type="http://schemas.openxmlformats.org/officeDocument/2006/relationships/hyperlink" Target="https://ir.elastic.co/news/news-details/2024/Elastic-Reports-Second-Quarter-Fiscal-2025-Financial-Results/" TargetMode="External"/><Relationship Id="rId1" Type="http://schemas.openxmlformats.org/officeDocument/2006/relationships/hyperlink" Target="https://s201.q4cdn.com/217177842/files/doc_financials/2025/q1/18656e06-8107-4423-8e2b-6f294543805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EFE0-031E-449B-9B3E-DEA7EAB8B130}">
  <dimension ref="B2:E38"/>
  <sheetViews>
    <sheetView tabSelected="1" workbookViewId="0">
      <selection activeCell="C30" sqref="C30:D30"/>
    </sheetView>
  </sheetViews>
  <sheetFormatPr defaultRowHeight="12.75" x14ac:dyDescent="0.2"/>
  <cols>
    <col min="1" max="3" width="9.140625" style="1"/>
    <col min="4" max="4" width="9.42578125" style="1" bestFit="1" customWidth="1"/>
    <col min="5" max="16384" width="9.140625" style="1"/>
  </cols>
  <sheetData>
    <row r="2" spans="2:5" x14ac:dyDescent="0.2">
      <c r="B2" s="2" t="s">
        <v>0</v>
      </c>
      <c r="E2" s="1" t="s">
        <v>10</v>
      </c>
    </row>
    <row r="3" spans="2:5" x14ac:dyDescent="0.2">
      <c r="B3" s="2" t="s">
        <v>1</v>
      </c>
    </row>
    <row r="5" spans="2:5" x14ac:dyDescent="0.2">
      <c r="B5" s="30" t="s">
        <v>2</v>
      </c>
      <c r="C5" s="31"/>
      <c r="D5" s="32"/>
    </row>
    <row r="6" spans="2:5" x14ac:dyDescent="0.2">
      <c r="B6" s="4" t="s">
        <v>3</v>
      </c>
      <c r="C6" s="1">
        <v>93.15</v>
      </c>
      <c r="D6" s="5"/>
    </row>
    <row r="7" spans="2:5" x14ac:dyDescent="0.2">
      <c r="B7" s="4" t="s">
        <v>4</v>
      </c>
      <c r="C7" s="3">
        <f>+'Financial Model'!L24</f>
        <v>103.23874000000001</v>
      </c>
      <c r="D7" s="27" t="str">
        <f>+$C$29</f>
        <v>Q225</v>
      </c>
    </row>
    <row r="8" spans="2:5" x14ac:dyDescent="0.2">
      <c r="B8" s="4" t="s">
        <v>5</v>
      </c>
      <c r="C8" s="3">
        <f>C6*C7</f>
        <v>9616.6886310000009</v>
      </c>
      <c r="D8" s="5"/>
    </row>
    <row r="9" spans="2:5" x14ac:dyDescent="0.2">
      <c r="B9" s="4" t="s">
        <v>6</v>
      </c>
      <c r="C9" s="3">
        <f>+'Financial Model'!K73</f>
        <v>1147.33</v>
      </c>
      <c r="D9" s="27" t="str">
        <f t="shared" ref="D9:D11" si="0">+$C$29</f>
        <v>Q225</v>
      </c>
    </row>
    <row r="10" spans="2:5" x14ac:dyDescent="0.2">
      <c r="B10" s="4" t="s">
        <v>7</v>
      </c>
      <c r="C10" s="3">
        <f>+'Financial Model'!K74</f>
        <v>568.88699999999994</v>
      </c>
      <c r="D10" s="27" t="str">
        <f t="shared" si="0"/>
        <v>Q225</v>
      </c>
    </row>
    <row r="11" spans="2:5" x14ac:dyDescent="0.2">
      <c r="B11" s="4" t="s">
        <v>8</v>
      </c>
      <c r="C11" s="3">
        <f>C9-C10</f>
        <v>578.44299999999998</v>
      </c>
      <c r="D11" s="27" t="str">
        <f t="shared" si="0"/>
        <v>Q225</v>
      </c>
    </row>
    <row r="12" spans="2:5" x14ac:dyDescent="0.2">
      <c r="B12" s="6" t="s">
        <v>9</v>
      </c>
      <c r="C12" s="7">
        <f>C8-C11</f>
        <v>9038.2456310000016</v>
      </c>
      <c r="D12" s="8"/>
    </row>
    <row r="15" spans="2:5" x14ac:dyDescent="0.2">
      <c r="B15" s="30" t="s">
        <v>12</v>
      </c>
      <c r="C15" s="31"/>
      <c r="D15" s="32"/>
    </row>
    <row r="16" spans="2:5" x14ac:dyDescent="0.2">
      <c r="B16" s="11"/>
      <c r="C16" s="28"/>
      <c r="D16" s="29"/>
    </row>
    <row r="17" spans="2:4" x14ac:dyDescent="0.2">
      <c r="B17" s="11"/>
      <c r="C17" s="28"/>
      <c r="D17" s="29"/>
    </row>
    <row r="18" spans="2:4" x14ac:dyDescent="0.2">
      <c r="B18" s="11"/>
      <c r="C18" s="28"/>
      <c r="D18" s="29"/>
    </row>
    <row r="19" spans="2:4" x14ac:dyDescent="0.2">
      <c r="B19" s="13"/>
      <c r="C19" s="33"/>
      <c r="D19" s="34"/>
    </row>
    <row r="22" spans="2:4" x14ac:dyDescent="0.2">
      <c r="B22" s="30" t="s">
        <v>11</v>
      </c>
      <c r="C22" s="31"/>
      <c r="D22" s="32"/>
    </row>
    <row r="23" spans="2:4" x14ac:dyDescent="0.2">
      <c r="B23" s="14" t="s">
        <v>13</v>
      </c>
      <c r="C23" s="28" t="s">
        <v>100</v>
      </c>
      <c r="D23" s="29"/>
    </row>
    <row r="24" spans="2:4" x14ac:dyDescent="0.2">
      <c r="B24" s="14" t="s">
        <v>14</v>
      </c>
      <c r="C24" s="35">
        <v>2012</v>
      </c>
      <c r="D24" s="36"/>
    </row>
    <row r="25" spans="2:4" x14ac:dyDescent="0.2">
      <c r="B25" s="14" t="s">
        <v>15</v>
      </c>
      <c r="C25" s="35">
        <v>2018</v>
      </c>
      <c r="D25" s="36"/>
    </row>
    <row r="26" spans="2:4" x14ac:dyDescent="0.2">
      <c r="B26" s="14"/>
      <c r="C26" s="28"/>
      <c r="D26" s="29"/>
    </row>
    <row r="27" spans="2:4" x14ac:dyDescent="0.2">
      <c r="B27" s="14" t="s">
        <v>16</v>
      </c>
      <c r="C27" s="28"/>
      <c r="D27" s="29"/>
    </row>
    <row r="28" spans="2:4" x14ac:dyDescent="0.2">
      <c r="B28" s="14"/>
      <c r="C28" s="28"/>
      <c r="D28" s="29"/>
    </row>
    <row r="29" spans="2:4" x14ac:dyDescent="0.2">
      <c r="B29" s="14" t="s">
        <v>17</v>
      </c>
      <c r="C29" s="12" t="s">
        <v>33</v>
      </c>
      <c r="D29" s="26">
        <f>+'Financial Model'!L3</f>
        <v>45617</v>
      </c>
    </row>
    <row r="30" spans="2:4" x14ac:dyDescent="0.2">
      <c r="B30" s="15" t="s">
        <v>18</v>
      </c>
      <c r="C30" s="33"/>
      <c r="D30" s="34"/>
    </row>
    <row r="33" spans="2:4" x14ac:dyDescent="0.2">
      <c r="B33" s="30" t="s">
        <v>19</v>
      </c>
      <c r="C33" s="31"/>
      <c r="D33" s="32"/>
    </row>
    <row r="34" spans="2:4" x14ac:dyDescent="0.2">
      <c r="B34" s="14" t="s">
        <v>21</v>
      </c>
      <c r="C34" s="37">
        <f>+C6/'Financial Model'!K71</f>
        <v>12.550196094773931</v>
      </c>
      <c r="D34" s="38"/>
    </row>
    <row r="35" spans="2:4" x14ac:dyDescent="0.2">
      <c r="B35" s="14" t="s">
        <v>22</v>
      </c>
      <c r="C35" s="28"/>
      <c r="D35" s="29"/>
    </row>
    <row r="36" spans="2:4" x14ac:dyDescent="0.2">
      <c r="B36" s="14" t="s">
        <v>20</v>
      </c>
      <c r="C36" s="28"/>
      <c r="D36" s="29"/>
    </row>
    <row r="37" spans="2:4" x14ac:dyDescent="0.2">
      <c r="B37" s="14"/>
      <c r="C37" s="28"/>
      <c r="D37" s="29"/>
    </row>
    <row r="38" spans="2:4" x14ac:dyDescent="0.2">
      <c r="B38" s="14" t="s">
        <v>23</v>
      </c>
      <c r="C38" s="28">
        <v>64</v>
      </c>
      <c r="D38" s="29"/>
    </row>
  </sheetData>
  <mergeCells count="20">
    <mergeCell ref="C36:D36"/>
    <mergeCell ref="C37:D37"/>
    <mergeCell ref="C38:D38"/>
    <mergeCell ref="C28:D28"/>
    <mergeCell ref="C30:D30"/>
    <mergeCell ref="B33:D33"/>
    <mergeCell ref="C34:D34"/>
    <mergeCell ref="C35:D35"/>
    <mergeCell ref="C27:D27"/>
    <mergeCell ref="B5:D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C26:D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F81E-C7BC-429A-AF70-7B66A6FE5D82}">
  <dimension ref="A1:U8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34" sqref="U34"/>
    </sheetView>
  </sheetViews>
  <sheetFormatPr defaultRowHeight="12.75" x14ac:dyDescent="0.2"/>
  <cols>
    <col min="1" max="1" width="4.28515625" style="1" customWidth="1"/>
    <col min="2" max="2" width="23.28515625" style="1" bestFit="1" customWidth="1"/>
    <col min="3" max="16384" width="9.140625" style="1"/>
  </cols>
  <sheetData>
    <row r="1" spans="1:21" s="16" customFormat="1" x14ac:dyDescent="0.2">
      <c r="C1" s="16" t="s">
        <v>32</v>
      </c>
      <c r="D1" s="16" t="s">
        <v>31</v>
      </c>
      <c r="E1" s="16" t="s">
        <v>30</v>
      </c>
      <c r="F1" s="16" t="s">
        <v>29</v>
      </c>
      <c r="G1" s="16" t="s">
        <v>28</v>
      </c>
      <c r="H1" s="16" t="s">
        <v>27</v>
      </c>
      <c r="I1" s="17" t="s">
        <v>26</v>
      </c>
      <c r="J1" s="16" t="s">
        <v>25</v>
      </c>
      <c r="K1" s="17" t="s">
        <v>24</v>
      </c>
      <c r="L1" s="17" t="s">
        <v>33</v>
      </c>
      <c r="M1" s="16" t="s">
        <v>98</v>
      </c>
      <c r="N1" s="16" t="s">
        <v>99</v>
      </c>
      <c r="P1" s="16" t="s">
        <v>53</v>
      </c>
      <c r="Q1" s="16" t="s">
        <v>52</v>
      </c>
      <c r="R1" s="16" t="s">
        <v>51</v>
      </c>
      <c r="S1" s="16" t="s">
        <v>50</v>
      </c>
      <c r="T1" s="16" t="s">
        <v>49</v>
      </c>
    </row>
    <row r="2" spans="1:21" s="10" customFormat="1" x14ac:dyDescent="0.2">
      <c r="A2" s="9"/>
      <c r="E2" s="18">
        <v>44957</v>
      </c>
      <c r="F2" s="18">
        <v>45046</v>
      </c>
      <c r="G2" s="18">
        <v>45138</v>
      </c>
      <c r="H2" s="18">
        <v>45230</v>
      </c>
      <c r="I2" s="18">
        <v>45322</v>
      </c>
      <c r="J2" s="18">
        <v>45412</v>
      </c>
      <c r="K2" s="18">
        <v>45504</v>
      </c>
      <c r="L2" s="18">
        <v>45596</v>
      </c>
      <c r="S2" s="18">
        <v>45046</v>
      </c>
      <c r="T2" s="18">
        <v>45412</v>
      </c>
    </row>
    <row r="3" spans="1:21" s="10" customFormat="1" x14ac:dyDescent="0.2">
      <c r="A3" s="9"/>
      <c r="I3" s="25">
        <v>45351</v>
      </c>
      <c r="J3" s="25">
        <v>45442</v>
      </c>
      <c r="K3" s="25">
        <v>45524</v>
      </c>
      <c r="L3" s="25">
        <v>45617</v>
      </c>
      <c r="T3" s="25">
        <v>45442</v>
      </c>
    </row>
    <row r="4" spans="1:21" s="3" customFormat="1" x14ac:dyDescent="0.2">
      <c r="B4" s="19" t="s">
        <v>34</v>
      </c>
      <c r="E4" s="3">
        <v>255.613</v>
      </c>
      <c r="F4" s="3">
        <v>256.12400000000002</v>
      </c>
      <c r="G4" s="3">
        <v>270.24700000000001</v>
      </c>
      <c r="H4" s="3">
        <v>287.74299999999999</v>
      </c>
      <c r="I4" s="3">
        <v>307.63200000000001</v>
      </c>
      <c r="J4" s="3">
        <v>310.98399999999998</v>
      </c>
      <c r="K4" s="3">
        <v>323.774</v>
      </c>
      <c r="L4" s="3">
        <v>340.80700000000002</v>
      </c>
      <c r="T4" s="3">
        <f>+SUM(G4:J4)</f>
        <v>1176.606</v>
      </c>
    </row>
    <row r="5" spans="1:21" s="3" customFormat="1" x14ac:dyDescent="0.2">
      <c r="B5" s="19" t="s">
        <v>35</v>
      </c>
      <c r="E5" s="3">
        <v>18.952999999999999</v>
      </c>
      <c r="F5" s="3">
        <v>23.817</v>
      </c>
      <c r="G5" s="3">
        <v>23.506</v>
      </c>
      <c r="H5" s="3">
        <v>22.869</v>
      </c>
      <c r="I5" s="3">
        <v>20.324999999999999</v>
      </c>
      <c r="J5" s="3">
        <v>24.015000000000001</v>
      </c>
      <c r="K5" s="3">
        <v>23.646000000000001</v>
      </c>
      <c r="L5" s="3">
        <v>24.553999999999998</v>
      </c>
      <c r="T5" s="3">
        <f>+SUM(G5:J5)</f>
        <v>90.715000000000003</v>
      </c>
    </row>
    <row r="6" spans="1:21" s="20" customFormat="1" x14ac:dyDescent="0.2">
      <c r="B6" s="20" t="s">
        <v>36</v>
      </c>
      <c r="C6" s="20">
        <f t="shared" ref="C6:I6" si="0">+C4+C5</f>
        <v>0</v>
      </c>
      <c r="D6" s="20">
        <f t="shared" si="0"/>
        <v>0</v>
      </c>
      <c r="E6" s="20">
        <f t="shared" si="0"/>
        <v>274.56599999999997</v>
      </c>
      <c r="F6" s="20">
        <f>+F4+F5</f>
        <v>279.94100000000003</v>
      </c>
      <c r="G6" s="20">
        <f t="shared" si="0"/>
        <v>293.75300000000004</v>
      </c>
      <c r="H6" s="20">
        <f t="shared" si="0"/>
        <v>310.61199999999997</v>
      </c>
      <c r="I6" s="20">
        <f t="shared" si="0"/>
        <v>327.95699999999999</v>
      </c>
      <c r="J6" s="20">
        <f>+J4+J5</f>
        <v>334.99899999999997</v>
      </c>
      <c r="K6" s="20">
        <f>+K4+K5</f>
        <v>347.42</v>
      </c>
      <c r="L6" s="20">
        <f>+L4+L5</f>
        <v>365.36099999999999</v>
      </c>
      <c r="M6" s="20">
        <f>+L6*1.18</f>
        <v>431.12597999999997</v>
      </c>
      <c r="N6" s="20">
        <f>+M6*1.18</f>
        <v>508.72865639999992</v>
      </c>
      <c r="T6" s="20">
        <f>+T4+T5</f>
        <v>1267.3209999999999</v>
      </c>
      <c r="U6" s="20">
        <f>+SUM(K6:N6)</f>
        <v>1652.6356363999998</v>
      </c>
    </row>
    <row r="7" spans="1:21" s="3" customFormat="1" x14ac:dyDescent="0.2">
      <c r="B7" s="19" t="s">
        <v>59</v>
      </c>
      <c r="E7" s="3">
        <v>56.146000000000001</v>
      </c>
      <c r="F7" s="3">
        <v>54.508000000000003</v>
      </c>
      <c r="G7" s="3">
        <v>57.265999999999998</v>
      </c>
      <c r="H7" s="3">
        <v>59.996000000000002</v>
      </c>
      <c r="I7" s="3">
        <v>63.975999999999999</v>
      </c>
      <c r="J7" s="3">
        <v>65.046999999999997</v>
      </c>
      <c r="K7" s="3">
        <v>68.346999999999994</v>
      </c>
      <c r="L7" s="3">
        <v>69.941000000000003</v>
      </c>
      <c r="T7" s="3">
        <f>+SUM(G7:J7)</f>
        <v>246.285</v>
      </c>
    </row>
    <row r="8" spans="1:21" s="3" customFormat="1" x14ac:dyDescent="0.2">
      <c r="B8" s="19" t="s">
        <v>58</v>
      </c>
      <c r="E8" s="3">
        <v>19.062000000000001</v>
      </c>
      <c r="F8" s="3">
        <v>19.173999999999999</v>
      </c>
      <c r="G8" s="3">
        <v>20.210999999999999</v>
      </c>
      <c r="H8" s="3">
        <v>20.093</v>
      </c>
      <c r="I8" s="3">
        <v>20.666</v>
      </c>
      <c r="J8" s="3">
        <v>22.824000000000002</v>
      </c>
      <c r="K8" s="3">
        <v>23.41</v>
      </c>
      <c r="L8" s="3">
        <v>23.238</v>
      </c>
      <c r="T8" s="3">
        <f>+SUM(G8:J8)</f>
        <v>83.793999999999997</v>
      </c>
    </row>
    <row r="9" spans="1:21" s="3" customFormat="1" x14ac:dyDescent="0.2">
      <c r="B9" s="3" t="s">
        <v>37</v>
      </c>
      <c r="C9" s="3">
        <f t="shared" ref="C9:I9" si="1">+C7+C8</f>
        <v>0</v>
      </c>
      <c r="D9" s="3">
        <f t="shared" si="1"/>
        <v>0</v>
      </c>
      <c r="E9" s="3">
        <f t="shared" si="1"/>
        <v>75.207999999999998</v>
      </c>
      <c r="F9" s="3">
        <f>+F7+F8</f>
        <v>73.682000000000002</v>
      </c>
      <c r="G9" s="3">
        <f t="shared" si="1"/>
        <v>77.477000000000004</v>
      </c>
      <c r="H9" s="3">
        <f t="shared" si="1"/>
        <v>80.088999999999999</v>
      </c>
      <c r="I9" s="3">
        <f t="shared" si="1"/>
        <v>84.641999999999996</v>
      </c>
      <c r="J9" s="3">
        <f>+J7+J8</f>
        <v>87.870999999999995</v>
      </c>
      <c r="K9" s="3">
        <f>+K7+K8</f>
        <v>91.756999999999991</v>
      </c>
      <c r="L9" s="3">
        <f>+L7+L8</f>
        <v>93.179000000000002</v>
      </c>
      <c r="T9" s="3">
        <f>+T7+T8</f>
        <v>330.07900000000001</v>
      </c>
    </row>
    <row r="10" spans="1:21" s="20" customFormat="1" x14ac:dyDescent="0.2">
      <c r="B10" s="20" t="s">
        <v>38</v>
      </c>
      <c r="C10" s="20">
        <f t="shared" ref="C10:I10" si="2">+C6-C9</f>
        <v>0</v>
      </c>
      <c r="D10" s="20">
        <f t="shared" si="2"/>
        <v>0</v>
      </c>
      <c r="E10" s="20">
        <f t="shared" si="2"/>
        <v>199.35799999999998</v>
      </c>
      <c r="F10" s="20">
        <f>+F6-F9</f>
        <v>206.25900000000001</v>
      </c>
      <c r="G10" s="20">
        <f t="shared" si="2"/>
        <v>216.27600000000004</v>
      </c>
      <c r="H10" s="20">
        <f t="shared" si="2"/>
        <v>230.52299999999997</v>
      </c>
      <c r="I10" s="20">
        <f t="shared" si="2"/>
        <v>243.315</v>
      </c>
      <c r="J10" s="20">
        <f>+J6-J9</f>
        <v>247.12799999999999</v>
      </c>
      <c r="K10" s="20">
        <f>+K6-K9</f>
        <v>255.66300000000001</v>
      </c>
      <c r="L10" s="20">
        <f>+L6-L9</f>
        <v>272.18200000000002</v>
      </c>
      <c r="T10" s="20">
        <f>+T6-T9</f>
        <v>937.24199999999996</v>
      </c>
    </row>
    <row r="11" spans="1:21" s="3" customFormat="1" x14ac:dyDescent="0.2">
      <c r="B11" s="19" t="s">
        <v>60</v>
      </c>
      <c r="C11" s="3">
        <f t="shared" ref="C11:I11" si="3">+C4-C7</f>
        <v>0</v>
      </c>
      <c r="D11" s="3">
        <f t="shared" si="3"/>
        <v>0</v>
      </c>
      <c r="E11" s="3">
        <f t="shared" si="3"/>
        <v>199.46699999999998</v>
      </c>
      <c r="F11" s="3">
        <f>+F4-F7</f>
        <v>201.61600000000001</v>
      </c>
      <c r="G11" s="3">
        <f t="shared" si="3"/>
        <v>212.98100000000002</v>
      </c>
      <c r="H11" s="3">
        <f t="shared" si="3"/>
        <v>227.74699999999999</v>
      </c>
      <c r="I11" s="3">
        <f t="shared" si="3"/>
        <v>243.65600000000001</v>
      </c>
      <c r="J11" s="3">
        <f t="shared" ref="J11:L12" si="4">+J4-J7</f>
        <v>245.93699999999998</v>
      </c>
      <c r="K11" s="3">
        <f t="shared" si="4"/>
        <v>255.42700000000002</v>
      </c>
      <c r="L11" s="3">
        <f t="shared" si="4"/>
        <v>270.86599999999999</v>
      </c>
      <c r="T11" s="3">
        <f>+T4-T7</f>
        <v>930.32100000000003</v>
      </c>
    </row>
    <row r="12" spans="1:21" s="3" customFormat="1" x14ac:dyDescent="0.2">
      <c r="B12" s="19" t="s">
        <v>61</v>
      </c>
      <c r="C12" s="3">
        <f t="shared" ref="C12:I12" si="5">+C5-C8</f>
        <v>0</v>
      </c>
      <c r="D12" s="3">
        <f t="shared" si="5"/>
        <v>0</v>
      </c>
      <c r="E12" s="3">
        <f t="shared" si="5"/>
        <v>-0.10900000000000176</v>
      </c>
      <c r="F12" s="3">
        <f>+F5-F8</f>
        <v>4.6430000000000007</v>
      </c>
      <c r="G12" s="3">
        <f t="shared" si="5"/>
        <v>3.2950000000000017</v>
      </c>
      <c r="H12" s="3">
        <f t="shared" si="5"/>
        <v>2.7759999999999998</v>
      </c>
      <c r="I12" s="3">
        <f t="shared" si="5"/>
        <v>-0.34100000000000108</v>
      </c>
      <c r="J12" s="3">
        <f t="shared" si="4"/>
        <v>1.1909999999999989</v>
      </c>
      <c r="K12" s="3">
        <f t="shared" si="4"/>
        <v>0.23600000000000065</v>
      </c>
      <c r="L12" s="3">
        <f t="shared" si="4"/>
        <v>1.3159999999999989</v>
      </c>
      <c r="T12" s="3">
        <f>+T5-T8</f>
        <v>6.9210000000000065</v>
      </c>
    </row>
    <row r="13" spans="1:21" s="3" customFormat="1" x14ac:dyDescent="0.2">
      <c r="B13" s="3" t="s">
        <v>39</v>
      </c>
      <c r="E13" s="3">
        <v>77.471999999999994</v>
      </c>
      <c r="F13" s="3">
        <v>81.765000000000001</v>
      </c>
      <c r="G13" s="3">
        <v>80.69</v>
      </c>
      <c r="H13" s="3">
        <v>80.108000000000004</v>
      </c>
      <c r="I13" s="3">
        <v>87.201999999999998</v>
      </c>
      <c r="J13" s="3">
        <v>93.950999999999993</v>
      </c>
      <c r="K13" s="3">
        <v>89.331999999999994</v>
      </c>
      <c r="L13" s="3">
        <v>88.162999999999997</v>
      </c>
      <c r="T13" s="3">
        <f>+SUM(G13:J13)</f>
        <v>341.95100000000002</v>
      </c>
    </row>
    <row r="14" spans="1:21" s="3" customFormat="1" x14ac:dyDescent="0.2">
      <c r="B14" s="3" t="s">
        <v>40</v>
      </c>
      <c r="E14" s="3">
        <v>126.717</v>
      </c>
      <c r="F14" s="3">
        <v>123.63500000000001</v>
      </c>
      <c r="G14" s="3">
        <v>133.16900000000001</v>
      </c>
      <c r="H14" s="3">
        <v>133.22999999999999</v>
      </c>
      <c r="I14" s="3">
        <v>141.62100000000001</v>
      </c>
      <c r="J14" s="3">
        <v>151.62799999999999</v>
      </c>
      <c r="K14" s="3">
        <v>157.357</v>
      </c>
      <c r="L14" s="3">
        <v>144.274</v>
      </c>
      <c r="T14" s="3">
        <f>+SUM(G14:J14)</f>
        <v>559.64799999999991</v>
      </c>
    </row>
    <row r="15" spans="1:21" s="3" customFormat="1" x14ac:dyDescent="0.2">
      <c r="B15" s="3" t="s">
        <v>41</v>
      </c>
      <c r="E15" s="3">
        <v>34.710999999999999</v>
      </c>
      <c r="F15" s="3">
        <v>39.523000000000003</v>
      </c>
      <c r="G15" s="3">
        <v>37.939</v>
      </c>
      <c r="H15" s="3">
        <v>38.695</v>
      </c>
      <c r="I15" s="3">
        <v>40.896000000000001</v>
      </c>
      <c r="J15" s="3">
        <v>43.097999999999999</v>
      </c>
      <c r="K15" s="3">
        <v>42.673000000000002</v>
      </c>
      <c r="L15" s="3">
        <v>44.085000000000001</v>
      </c>
      <c r="T15" s="3">
        <f>+SUM(G15:J15)</f>
        <v>160.62799999999999</v>
      </c>
    </row>
    <row r="16" spans="1:21" s="3" customFormat="1" x14ac:dyDescent="0.2">
      <c r="B16" s="3" t="s">
        <v>42</v>
      </c>
      <c r="E16" s="3">
        <v>29.805</v>
      </c>
      <c r="F16" s="3">
        <v>1.492</v>
      </c>
      <c r="G16" s="3">
        <v>0.72499999999999998</v>
      </c>
      <c r="H16" s="3">
        <v>2.9000000000000001E-2</v>
      </c>
      <c r="I16" s="3">
        <v>0</v>
      </c>
      <c r="J16" s="3">
        <v>4.1630000000000003</v>
      </c>
      <c r="K16" s="3">
        <v>0.13900000000000001</v>
      </c>
      <c r="L16" s="3">
        <v>8.5999999999999993E-2</v>
      </c>
      <c r="T16" s="3">
        <f>+SUM(G16:J16)</f>
        <v>4.9169999999999998</v>
      </c>
    </row>
    <row r="17" spans="2:20" s="20" customFormat="1" x14ac:dyDescent="0.2">
      <c r="B17" s="20" t="s">
        <v>43</v>
      </c>
      <c r="C17" s="20">
        <f t="shared" ref="C17:I17" si="6">+C10-SUM(C13:C16)</f>
        <v>0</v>
      </c>
      <c r="D17" s="20">
        <f t="shared" si="6"/>
        <v>0</v>
      </c>
      <c r="E17" s="20">
        <f t="shared" si="6"/>
        <v>-69.347000000000008</v>
      </c>
      <c r="F17" s="20">
        <f>+F10-SUM(F13:F16)</f>
        <v>-40.155999999999977</v>
      </c>
      <c r="G17" s="20">
        <f t="shared" si="6"/>
        <v>-36.246999999999957</v>
      </c>
      <c r="H17" s="20">
        <f t="shared" si="6"/>
        <v>-21.539000000000016</v>
      </c>
      <c r="I17" s="20">
        <f t="shared" si="6"/>
        <v>-26.403999999999996</v>
      </c>
      <c r="J17" s="20">
        <f>+J10-SUM(J13:J16)</f>
        <v>-45.711999999999989</v>
      </c>
      <c r="K17" s="20">
        <f>+K10-SUM(K13:K16)</f>
        <v>-33.837999999999965</v>
      </c>
      <c r="L17" s="20">
        <f>+L10-SUM(L13:L16)</f>
        <v>-4.4259999999999877</v>
      </c>
      <c r="T17" s="20">
        <f>+T10-SUM(T13:T16)</f>
        <v>-129.90199999999982</v>
      </c>
    </row>
    <row r="18" spans="2:20" s="3" customFormat="1" x14ac:dyDescent="0.2">
      <c r="B18" s="3" t="s">
        <v>44</v>
      </c>
      <c r="E18" s="3">
        <v>6.2649999999999997</v>
      </c>
      <c r="F18" s="3">
        <v>6.2839999999999998</v>
      </c>
      <c r="G18" s="3">
        <v>6.306</v>
      </c>
      <c r="H18" s="3">
        <v>6.3490000000000002</v>
      </c>
      <c r="I18" s="3">
        <v>6.3680000000000003</v>
      </c>
      <c r="J18" s="3">
        <v>7.109</v>
      </c>
      <c r="K18" s="3">
        <v>6.5259999999999998</v>
      </c>
      <c r="L18" s="3">
        <v>6.4619999999999997</v>
      </c>
      <c r="T18" s="3">
        <f>+SUM(G18:J18)</f>
        <v>26.132000000000005</v>
      </c>
    </row>
    <row r="19" spans="2:20" s="3" customFormat="1" x14ac:dyDescent="0.2">
      <c r="B19" s="3" t="s">
        <v>54</v>
      </c>
      <c r="E19" s="3">
        <v>5.46</v>
      </c>
      <c r="F19" s="3">
        <v>6.68</v>
      </c>
      <c r="G19" s="3">
        <v>7.3</v>
      </c>
      <c r="H19" s="3">
        <v>8.2390000000000008</v>
      </c>
      <c r="I19" s="3">
        <v>8.5679999999999996</v>
      </c>
      <c r="J19" s="3">
        <v>9.1709999999999994</v>
      </c>
      <c r="K19" s="3">
        <v>11.208</v>
      </c>
      <c r="L19" s="3">
        <v>9.1059999999999999</v>
      </c>
      <c r="T19" s="3">
        <f>+SUM(G19:J19)</f>
        <v>33.277999999999999</v>
      </c>
    </row>
    <row r="20" spans="2:20" s="3" customFormat="1" x14ac:dyDescent="0.2">
      <c r="B20" s="3" t="s">
        <v>45</v>
      </c>
      <c r="C20" s="3">
        <f t="shared" ref="C20:I20" si="7">+C17-C18+C19</f>
        <v>0</v>
      </c>
      <c r="D20" s="3">
        <f t="shared" si="7"/>
        <v>0</v>
      </c>
      <c r="E20" s="3">
        <f t="shared" si="7"/>
        <v>-70.152000000000015</v>
      </c>
      <c r="F20" s="3">
        <f>+F17-F18+F19</f>
        <v>-39.759999999999977</v>
      </c>
      <c r="G20" s="3">
        <f t="shared" si="7"/>
        <v>-35.252999999999957</v>
      </c>
      <c r="H20" s="3">
        <f t="shared" si="7"/>
        <v>-19.649000000000015</v>
      </c>
      <c r="I20" s="3">
        <f t="shared" si="7"/>
        <v>-24.204000000000001</v>
      </c>
      <c r="J20" s="3">
        <f>+J17-J18+J19</f>
        <v>-43.649999999999991</v>
      </c>
      <c r="K20" s="3">
        <f>+K17-K18+K19</f>
        <v>-29.155999999999963</v>
      </c>
      <c r="L20" s="3">
        <f>+L17-L18+L19</f>
        <v>-1.7819999999999876</v>
      </c>
      <c r="T20" s="3">
        <f>+T17-T18+T19</f>
        <v>-122.75599999999983</v>
      </c>
    </row>
    <row r="21" spans="2:20" s="3" customFormat="1" x14ac:dyDescent="0.2">
      <c r="B21" s="3" t="s">
        <v>46</v>
      </c>
      <c r="E21" s="3">
        <v>2.4220000000000002</v>
      </c>
      <c r="F21" s="3">
        <v>6.9710000000000001</v>
      </c>
      <c r="G21" s="3">
        <v>13.255000000000001</v>
      </c>
      <c r="H21" s="3">
        <v>5.1470000000000002</v>
      </c>
      <c r="I21" s="3">
        <v>-200.328</v>
      </c>
      <c r="J21" s="3">
        <v>-2.5499999999999998</v>
      </c>
      <c r="K21" s="3">
        <v>20.071000000000002</v>
      </c>
      <c r="L21" s="3">
        <v>23.667999999999999</v>
      </c>
      <c r="T21" s="3">
        <f>+SUM(G21:J21)</f>
        <v>-184.476</v>
      </c>
    </row>
    <row r="22" spans="2:20" s="20" customFormat="1" x14ac:dyDescent="0.2">
      <c r="B22" s="20" t="s">
        <v>47</v>
      </c>
      <c r="C22" s="20">
        <f t="shared" ref="C22:I22" si="8">+C20-C21</f>
        <v>0</v>
      </c>
      <c r="D22" s="20">
        <f t="shared" si="8"/>
        <v>0</v>
      </c>
      <c r="E22" s="20">
        <f t="shared" si="8"/>
        <v>-72.574000000000012</v>
      </c>
      <c r="F22" s="20">
        <f>+F20-F21</f>
        <v>-46.73099999999998</v>
      </c>
      <c r="G22" s="20">
        <f t="shared" si="8"/>
        <v>-48.50799999999996</v>
      </c>
      <c r="H22" s="20">
        <f t="shared" si="8"/>
        <v>-24.796000000000014</v>
      </c>
      <c r="I22" s="20">
        <f t="shared" si="8"/>
        <v>176.124</v>
      </c>
      <c r="J22" s="20">
        <f>+J20-J21</f>
        <v>-41.099999999999994</v>
      </c>
      <c r="K22" s="20">
        <f>+K20-K21</f>
        <v>-49.226999999999961</v>
      </c>
      <c r="L22" s="20">
        <f>+L20-L21</f>
        <v>-25.449999999999989</v>
      </c>
      <c r="T22" s="20">
        <f>+T20-T21</f>
        <v>61.720000000000169</v>
      </c>
    </row>
    <row r="23" spans="2:20" s="21" customFormat="1" x14ac:dyDescent="0.2">
      <c r="B23" s="21" t="s">
        <v>48</v>
      </c>
      <c r="E23" s="21">
        <f t="shared" ref="E23:L23" si="9">+E22/E24</f>
        <v>-0.75556970298127513</v>
      </c>
      <c r="F23" s="21">
        <f t="shared" si="9"/>
        <v>-0.48187196353302347</v>
      </c>
      <c r="G23" s="21">
        <f t="shared" si="9"/>
        <v>-0.49527246463875757</v>
      </c>
      <c r="H23" s="21">
        <f t="shared" si="9"/>
        <v>-0.25027908348477923</v>
      </c>
      <c r="I23" s="21">
        <f t="shared" si="9"/>
        <v>1.7562841349907246</v>
      </c>
      <c r="J23" s="21">
        <f t="shared" si="9"/>
        <v>-0.40563042266068267</v>
      </c>
      <c r="K23" s="21">
        <f t="shared" si="9"/>
        <v>-0.48127557237814295</v>
      </c>
      <c r="L23" s="21">
        <f t="shared" si="9"/>
        <v>-0.24651598808741745</v>
      </c>
      <c r="T23" s="21">
        <f>+T22/T24</f>
        <v>0.60913648872548432</v>
      </c>
    </row>
    <row r="24" spans="2:20" s="3" customFormat="1" x14ac:dyDescent="0.2">
      <c r="B24" s="3" t="s">
        <v>4</v>
      </c>
      <c r="E24" s="3">
        <v>96.052025</v>
      </c>
      <c r="F24" s="3">
        <v>96.978043</v>
      </c>
      <c r="G24" s="3">
        <v>97.942048999999997</v>
      </c>
      <c r="H24" s="3">
        <v>99.073401000000004</v>
      </c>
      <c r="I24" s="3">
        <v>100.282179</v>
      </c>
      <c r="J24" s="3">
        <v>101.323761</v>
      </c>
      <c r="K24" s="3">
        <v>102.284435</v>
      </c>
      <c r="L24" s="3">
        <v>103.23874000000001</v>
      </c>
      <c r="T24" s="3">
        <f>+J24</f>
        <v>101.323761</v>
      </c>
    </row>
    <row r="26" spans="2:20" s="22" customFormat="1" x14ac:dyDescent="0.2">
      <c r="B26" s="22" t="s">
        <v>55</v>
      </c>
      <c r="E26" s="22">
        <f t="shared" ref="E26:G27" si="10">+E11/E4</f>
        <v>0.78034763490119818</v>
      </c>
      <c r="F26" s="22">
        <f t="shared" si="10"/>
        <v>0.78718120910184131</v>
      </c>
      <c r="G26" s="22">
        <f t="shared" si="10"/>
        <v>0.78809755519950275</v>
      </c>
      <c r="H26" s="22">
        <f t="shared" ref="H26:I27" si="11">+H11/H4</f>
        <v>0.79149449334996846</v>
      </c>
      <c r="I26" s="22">
        <f t="shared" si="11"/>
        <v>0.79203723929890257</v>
      </c>
      <c r="J26" s="22">
        <f>+J11/J4</f>
        <v>0.79083489825843134</v>
      </c>
      <c r="K26" s="22">
        <f>+K11/K4</f>
        <v>0.78890522401428165</v>
      </c>
      <c r="L26" s="22">
        <f t="shared" ref="L26:L27" si="12">+L11/L4</f>
        <v>0.79477827626779962</v>
      </c>
      <c r="T26" s="22">
        <f t="shared" ref="T26:T27" si="13">+T11/T4</f>
        <v>0.79068184251992601</v>
      </c>
    </row>
    <row r="27" spans="2:20" s="22" customFormat="1" x14ac:dyDescent="0.2">
      <c r="B27" s="22" t="s">
        <v>56</v>
      </c>
      <c r="E27" s="22">
        <f t="shared" si="10"/>
        <v>-5.75106843243823E-3</v>
      </c>
      <c r="F27" s="22">
        <f t="shared" si="10"/>
        <v>0.19494478733677628</v>
      </c>
      <c r="G27" s="22">
        <f t="shared" si="10"/>
        <v>0.14017697609121083</v>
      </c>
      <c r="H27" s="22">
        <f t="shared" si="11"/>
        <v>0.12138703047793956</v>
      </c>
      <c r="I27" s="22">
        <f t="shared" si="11"/>
        <v>-1.677736777367779E-2</v>
      </c>
      <c r="J27" s="22">
        <f>+J12/J5</f>
        <v>4.959400374765767E-2</v>
      </c>
      <c r="K27" s="22">
        <f>+K12/K5</f>
        <v>9.9805463926245733E-3</v>
      </c>
      <c r="L27" s="22">
        <f t="shared" si="12"/>
        <v>5.3596155412560034E-2</v>
      </c>
      <c r="T27" s="22">
        <f t="shared" si="13"/>
        <v>7.6293887449705194E-2</v>
      </c>
    </row>
    <row r="29" spans="2:20" s="22" customFormat="1" x14ac:dyDescent="0.2">
      <c r="B29" s="22" t="s">
        <v>57</v>
      </c>
      <c r="E29" s="22">
        <f>+E10/E6</f>
        <v>0.72608407450303381</v>
      </c>
      <c r="F29" s="22">
        <f>+F10/F6</f>
        <v>0.7367945388492575</v>
      </c>
      <c r="G29" s="22">
        <f>+G10/G6</f>
        <v>0.73625120424302049</v>
      </c>
      <c r="H29" s="22">
        <f t="shared" ref="H29:I29" si="14">+H10/H6</f>
        <v>0.7421574182581484</v>
      </c>
      <c r="I29" s="22">
        <f t="shared" si="14"/>
        <v>0.74191128715044963</v>
      </c>
      <c r="J29" s="22">
        <f>+J10/J6</f>
        <v>0.73769772447081938</v>
      </c>
      <c r="K29" s="22">
        <f>+K10/K6</f>
        <v>0.73589027689827868</v>
      </c>
      <c r="L29" s="22">
        <f t="shared" ref="L29" si="15">+L10/L6</f>
        <v>0.74496730630800778</v>
      </c>
      <c r="T29" s="22">
        <f t="shared" ref="T29" si="16">+T10/T6</f>
        <v>0.73954586091448027</v>
      </c>
    </row>
    <row r="30" spans="2:20" s="22" customFormat="1" x14ac:dyDescent="0.2">
      <c r="B30" s="22" t="s">
        <v>62</v>
      </c>
      <c r="E30" s="22">
        <f>+E17/E6</f>
        <v>-0.2525695096989431</v>
      </c>
      <c r="F30" s="22">
        <f>+F17/F6</f>
        <v>-0.14344451152207063</v>
      </c>
      <c r="G30" s="22">
        <f>+G17/G6</f>
        <v>-0.12339278237158413</v>
      </c>
      <c r="H30" s="22">
        <f t="shared" ref="H30:I30" si="17">+H17/H6</f>
        <v>-6.9343747182980753E-2</v>
      </c>
      <c r="I30" s="22">
        <f t="shared" si="17"/>
        <v>-8.0510554737358853E-2</v>
      </c>
      <c r="J30" s="22">
        <f>+J17/J6</f>
        <v>-0.13645413866907063</v>
      </c>
      <c r="K30" s="22">
        <f>+K17/K6</f>
        <v>-9.7397962120775908E-2</v>
      </c>
      <c r="L30" s="22">
        <f t="shared" ref="L30" si="18">+L17/L6</f>
        <v>-1.2114046107822093E-2</v>
      </c>
      <c r="T30" s="22">
        <f t="shared" ref="T30" si="19">+T17/T6</f>
        <v>-0.10250126053304555</v>
      </c>
    </row>
    <row r="31" spans="2:20" s="22" customFormat="1" x14ac:dyDescent="0.2">
      <c r="B31" s="22" t="s">
        <v>63</v>
      </c>
      <c r="E31" s="22">
        <f>+E22/E6</f>
        <v>-0.26432260367270538</v>
      </c>
      <c r="F31" s="22">
        <f>+F22/F6</f>
        <v>-0.16693160344501154</v>
      </c>
      <c r="G31" s="22">
        <f>+G22/G6</f>
        <v>-0.16513193056751746</v>
      </c>
      <c r="H31" s="22">
        <f t="shared" ref="H31:I31" si="20">+H22/H6</f>
        <v>-7.9829497894479337E-2</v>
      </c>
      <c r="I31" s="22">
        <f t="shared" si="20"/>
        <v>0.53703381845790754</v>
      </c>
      <c r="J31" s="22">
        <f>+J22/J6</f>
        <v>-0.12268693339383102</v>
      </c>
      <c r="K31" s="22">
        <f>+K22/K6</f>
        <v>-0.141693051637787</v>
      </c>
      <c r="L31" s="22">
        <f t="shared" ref="L31" si="21">+L22/L6</f>
        <v>-6.9657133629478757E-2</v>
      </c>
      <c r="T31" s="22">
        <f t="shared" ref="T31" si="22">+T22/T6</f>
        <v>4.8701157796643607E-2</v>
      </c>
    </row>
    <row r="32" spans="2:20" s="22" customFormat="1" x14ac:dyDescent="0.2">
      <c r="B32" s="22" t="s">
        <v>64</v>
      </c>
      <c r="E32" s="22">
        <f>+E21/E20</f>
        <v>-3.4525031360474391E-2</v>
      </c>
      <c r="F32" s="22">
        <f>+F21/F20</f>
        <v>-0.17532696177062385</v>
      </c>
      <c r="G32" s="22">
        <f>+G21/G20</f>
        <v>-0.37599636910333922</v>
      </c>
      <c r="H32" s="22">
        <f t="shared" ref="H32:I32" si="23">+H21/H20</f>
        <v>-0.26194717288411606</v>
      </c>
      <c r="I32" s="22">
        <f t="shared" si="23"/>
        <v>8.2766484878532474</v>
      </c>
      <c r="J32" s="22">
        <f>+J21/J20</f>
        <v>5.8419243986254303E-2</v>
      </c>
      <c r="K32" s="22">
        <f>+K21/K20</f>
        <v>-0.68840032926327432</v>
      </c>
      <c r="L32" s="22">
        <f t="shared" ref="L32" si="24">+L21/L20</f>
        <v>-13.281705948372707</v>
      </c>
      <c r="T32" s="22">
        <f t="shared" ref="T32" si="25">+T21/T20</f>
        <v>1.5027860145328966</v>
      </c>
    </row>
    <row r="34" spans="2:21" s="24" customFormat="1" x14ac:dyDescent="0.2">
      <c r="B34" s="24" t="s">
        <v>96</v>
      </c>
      <c r="I34" s="24">
        <f>+I6/E6-1</f>
        <v>0.19445597779768797</v>
      </c>
      <c r="K34" s="24">
        <f>+K6/G6-1</f>
        <v>0.18269430439859335</v>
      </c>
      <c r="L34" s="24">
        <f>+L6/H6-1</f>
        <v>0.17626170270305086</v>
      </c>
      <c r="U34" s="24">
        <f>+U6/T6-1</f>
        <v>0.30403870558445734</v>
      </c>
    </row>
    <row r="35" spans="2:21" s="22" customFormat="1" x14ac:dyDescent="0.2">
      <c r="B35" s="22" t="s">
        <v>97</v>
      </c>
      <c r="H35" s="22">
        <f t="shared" ref="H35:I35" si="26">+H6/G6-1</f>
        <v>5.7391754296977071E-2</v>
      </c>
      <c r="I35" s="22">
        <f t="shared" si="26"/>
        <v>5.5841371228413594E-2</v>
      </c>
      <c r="L35" s="22">
        <f>+L6/K6-1</f>
        <v>5.1640665476944347E-2</v>
      </c>
    </row>
    <row r="38" spans="2:21" x14ac:dyDescent="0.2">
      <c r="B38" s="23" t="s">
        <v>65</v>
      </c>
    </row>
    <row r="39" spans="2:21" s="20" customFormat="1" x14ac:dyDescent="0.2">
      <c r="B39" s="20" t="s">
        <v>6</v>
      </c>
      <c r="K39" s="20">
        <v>594.87099999999998</v>
      </c>
    </row>
    <row r="40" spans="2:21" s="3" customFormat="1" x14ac:dyDescent="0.2">
      <c r="B40" s="3" t="s">
        <v>70</v>
      </c>
      <c r="K40" s="3">
        <v>3.4630000000000001</v>
      </c>
    </row>
    <row r="41" spans="2:21" s="20" customFormat="1" x14ac:dyDescent="0.2">
      <c r="B41" s="20" t="s">
        <v>71</v>
      </c>
      <c r="K41" s="20">
        <v>552.45899999999995</v>
      </c>
    </row>
    <row r="42" spans="2:21" s="3" customFormat="1" x14ac:dyDescent="0.2">
      <c r="B42" s="3" t="s">
        <v>72</v>
      </c>
      <c r="K42" s="3">
        <v>196.47399999999999</v>
      </c>
    </row>
    <row r="43" spans="2:21" s="3" customFormat="1" x14ac:dyDescent="0.2">
      <c r="B43" s="3" t="s">
        <v>73</v>
      </c>
      <c r="K43" s="3">
        <v>76.265000000000001</v>
      </c>
    </row>
    <row r="44" spans="2:21" s="3" customFormat="1" x14ac:dyDescent="0.2">
      <c r="B44" s="3" t="s">
        <v>74</v>
      </c>
      <c r="K44" s="3">
        <v>42.643000000000001</v>
      </c>
    </row>
    <row r="45" spans="2:21" s="3" customFormat="1" x14ac:dyDescent="0.2">
      <c r="B45" s="3" t="s">
        <v>75</v>
      </c>
      <c r="K45" s="3">
        <f>+SUM(K39:K44)</f>
        <v>1466.175</v>
      </c>
    </row>
    <row r="46" spans="2:21" s="3" customFormat="1" x14ac:dyDescent="0.2">
      <c r="B46" s="3" t="s">
        <v>76</v>
      </c>
      <c r="K46" s="3">
        <v>4.9530000000000003</v>
      </c>
    </row>
    <row r="47" spans="2:21" s="3" customFormat="1" x14ac:dyDescent="0.2">
      <c r="B47" s="3" t="s">
        <v>77</v>
      </c>
      <c r="K47" s="3">
        <v>319.41699999999997</v>
      </c>
    </row>
    <row r="48" spans="2:21" s="3" customFormat="1" x14ac:dyDescent="0.2">
      <c r="B48" s="3" t="s">
        <v>78</v>
      </c>
      <c r="K48" s="3">
        <v>17.757999999999999</v>
      </c>
    </row>
    <row r="49" spans="2:11" s="3" customFormat="1" x14ac:dyDescent="0.2">
      <c r="B49" s="3" t="s">
        <v>79</v>
      </c>
      <c r="K49" s="3">
        <v>17.341000000000001</v>
      </c>
    </row>
    <row r="50" spans="2:11" s="3" customFormat="1" x14ac:dyDescent="0.2">
      <c r="B50" s="3" t="s">
        <v>73</v>
      </c>
      <c r="K50" s="3">
        <v>107.467</v>
      </c>
    </row>
    <row r="51" spans="2:11" s="3" customFormat="1" x14ac:dyDescent="0.2">
      <c r="B51" s="3" t="s">
        <v>80</v>
      </c>
      <c r="K51" s="3">
        <v>210.809</v>
      </c>
    </row>
    <row r="52" spans="2:11" s="3" customFormat="1" x14ac:dyDescent="0.2">
      <c r="B52" s="3" t="s">
        <v>81</v>
      </c>
      <c r="K52" s="3">
        <v>6.58</v>
      </c>
    </row>
    <row r="53" spans="2:11" s="3" customFormat="1" x14ac:dyDescent="0.2">
      <c r="B53" s="3" t="s">
        <v>82</v>
      </c>
      <c r="K53" s="3">
        <f>+SUM(K45:K52)</f>
        <v>2150.5</v>
      </c>
    </row>
    <row r="54" spans="2:11" s="3" customFormat="1" x14ac:dyDescent="0.2"/>
    <row r="55" spans="2:11" s="3" customFormat="1" x14ac:dyDescent="0.2">
      <c r="B55" s="3" t="s">
        <v>83</v>
      </c>
      <c r="K55" s="3">
        <v>9.3369999999999997</v>
      </c>
    </row>
    <row r="56" spans="2:11" s="3" customFormat="1" x14ac:dyDescent="0.2">
      <c r="B56" s="3" t="s">
        <v>84</v>
      </c>
      <c r="K56" s="3">
        <v>72.408000000000001</v>
      </c>
    </row>
    <row r="57" spans="2:11" s="3" customFormat="1" x14ac:dyDescent="0.2">
      <c r="B57" s="3" t="s">
        <v>85</v>
      </c>
      <c r="K57" s="3">
        <v>76.08</v>
      </c>
    </row>
    <row r="58" spans="2:11" s="3" customFormat="1" x14ac:dyDescent="0.2">
      <c r="B58" s="3" t="s">
        <v>86</v>
      </c>
      <c r="K58" s="3">
        <v>11.143000000000001</v>
      </c>
    </row>
    <row r="59" spans="2:11" s="3" customFormat="1" x14ac:dyDescent="0.2">
      <c r="B59" s="3" t="s">
        <v>87</v>
      </c>
      <c r="K59" s="3">
        <v>599.52099999999996</v>
      </c>
    </row>
    <row r="60" spans="2:11" s="3" customFormat="1" x14ac:dyDescent="0.2">
      <c r="B60" s="3" t="s">
        <v>88</v>
      </c>
      <c r="K60" s="3">
        <f>+SUM(K55:K59)</f>
        <v>768.48899999999992</v>
      </c>
    </row>
    <row r="61" spans="2:11" s="3" customFormat="1" x14ac:dyDescent="0.2">
      <c r="B61" s="3" t="s">
        <v>87</v>
      </c>
      <c r="K61" s="3">
        <v>27.724</v>
      </c>
    </row>
    <row r="62" spans="2:11" s="20" customFormat="1" x14ac:dyDescent="0.2">
      <c r="B62" s="20" t="s">
        <v>89</v>
      </c>
      <c r="K62" s="20">
        <v>568.88699999999994</v>
      </c>
    </row>
    <row r="63" spans="2:11" s="3" customFormat="1" x14ac:dyDescent="0.2">
      <c r="B63" s="3" t="s">
        <v>86</v>
      </c>
      <c r="K63" s="3">
        <v>10.714</v>
      </c>
    </row>
    <row r="64" spans="2:11" s="3" customFormat="1" x14ac:dyDescent="0.2">
      <c r="B64" s="3" t="s">
        <v>90</v>
      </c>
      <c r="K64" s="3">
        <v>15.510999999999999</v>
      </c>
    </row>
    <row r="65" spans="2:11" s="3" customFormat="1" x14ac:dyDescent="0.2">
      <c r="B65" s="3" t="s">
        <v>91</v>
      </c>
      <c r="K65" s="3">
        <f>+SUM(K60:K64)</f>
        <v>1391.3249999999998</v>
      </c>
    </row>
    <row r="66" spans="2:11" s="3" customFormat="1" x14ac:dyDescent="0.2"/>
    <row r="67" spans="2:11" s="3" customFormat="1" x14ac:dyDescent="0.2">
      <c r="B67" s="3" t="s">
        <v>92</v>
      </c>
      <c r="K67" s="3">
        <v>759.41800000000001</v>
      </c>
    </row>
    <row r="68" spans="2:11" s="3" customFormat="1" x14ac:dyDescent="0.2">
      <c r="B68" s="3" t="s">
        <v>93</v>
      </c>
      <c r="K68" s="3">
        <f>+K67+K65</f>
        <v>2150.7429999999999</v>
      </c>
    </row>
    <row r="70" spans="2:11" x14ac:dyDescent="0.2">
      <c r="B70" s="1" t="s">
        <v>94</v>
      </c>
      <c r="K70" s="3">
        <f>+K53-K65</f>
        <v>759.17500000000018</v>
      </c>
    </row>
    <row r="71" spans="2:11" x14ac:dyDescent="0.2">
      <c r="B71" s="1" t="s">
        <v>95</v>
      </c>
      <c r="K71" s="1">
        <f>+K70/K24</f>
        <v>7.4221947845730405</v>
      </c>
    </row>
    <row r="73" spans="2:11" x14ac:dyDescent="0.2">
      <c r="B73" s="1" t="s">
        <v>6</v>
      </c>
      <c r="K73" s="3">
        <f>+K39+K41</f>
        <v>1147.33</v>
      </c>
    </row>
    <row r="74" spans="2:11" x14ac:dyDescent="0.2">
      <c r="B74" s="1" t="s">
        <v>7</v>
      </c>
      <c r="K74" s="3">
        <f>+K62</f>
        <v>568.88699999999994</v>
      </c>
    </row>
    <row r="75" spans="2:11" x14ac:dyDescent="0.2">
      <c r="B75" s="1" t="s">
        <v>8</v>
      </c>
      <c r="K75" s="3">
        <f>+K73-K74</f>
        <v>578.44299999999998</v>
      </c>
    </row>
    <row r="85" spans="2:12" x14ac:dyDescent="0.2">
      <c r="B85" s="23" t="s">
        <v>66</v>
      </c>
    </row>
    <row r="86" spans="2:12" s="3" customFormat="1" x14ac:dyDescent="0.2">
      <c r="B86" s="3" t="s">
        <v>67</v>
      </c>
      <c r="G86" s="3">
        <v>37.811999999999998</v>
      </c>
      <c r="H86" s="3">
        <v>-2.387</v>
      </c>
      <c r="I86" s="3">
        <v>52.389000000000003</v>
      </c>
      <c r="K86" s="3">
        <v>52.573999999999998</v>
      </c>
      <c r="L86" s="3">
        <v>38.377000000000002</v>
      </c>
    </row>
    <row r="87" spans="2:12" s="3" customFormat="1" x14ac:dyDescent="0.2">
      <c r="B87" s="3" t="s">
        <v>68</v>
      </c>
      <c r="G87" s="3">
        <v>0.63200000000000001</v>
      </c>
      <c r="H87" s="3">
        <v>0.89600000000000002</v>
      </c>
      <c r="I87" s="3">
        <v>1.077</v>
      </c>
      <c r="K87" s="3">
        <v>0.747</v>
      </c>
      <c r="L87" s="3">
        <v>0.71499999999999997</v>
      </c>
    </row>
    <row r="88" spans="2:12" s="3" customFormat="1" x14ac:dyDescent="0.2">
      <c r="B88" s="3" t="s">
        <v>69</v>
      </c>
      <c r="G88" s="3">
        <f>+G86-G87</f>
        <v>37.18</v>
      </c>
      <c r="H88" s="3">
        <f>+H86-H87</f>
        <v>-3.2829999999999999</v>
      </c>
      <c r="I88" s="3">
        <f>+I86-I87</f>
        <v>51.312000000000005</v>
      </c>
      <c r="K88" s="3">
        <f>+K86-K87</f>
        <v>51.826999999999998</v>
      </c>
      <c r="L88" s="3">
        <f>+L86-L87</f>
        <v>37.661999999999999</v>
      </c>
    </row>
  </sheetData>
  <hyperlinks>
    <hyperlink ref="K1" r:id="rId1" xr:uid="{267B7692-FC69-4A91-B418-4E74EE630B4E}"/>
    <hyperlink ref="L1" r:id="rId2" xr:uid="{D62D5055-D875-4834-8EBE-6475C8173F0F}"/>
    <hyperlink ref="I1" r:id="rId3" xr:uid="{6C91A7E0-5C0D-43D5-8B5E-96C206CFFDBA}"/>
  </hyperlinks>
  <pageMargins left="0.7" right="0.7" top="0.75" bottom="0.75" header="0.3" footer="0.3"/>
  <ignoredErrors>
    <ignoredError sqref="T4:T5 T22:T24" formulaRange="1"/>
    <ignoredError sqref="T6:T21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2024-11-21T14:44:30Z</dcterms:created>
  <dcterms:modified xsi:type="dcterms:W3CDTF">2024-11-25T00:18:32Z</dcterms:modified>
</cp:coreProperties>
</file>