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68315F16-546F-42B6-B491-043C8CEE36FD}" xr6:coauthVersionLast="36" xr6:coauthVersionMax="36" xr10:uidLastSave="{00000000-0000-0000-0000-000000000000}"/>
  <bookViews>
    <workbookView xWindow="0" yWindow="0" windowWidth="28800" windowHeight="12225" xr2:uid="{C17CCCFF-BC06-47D8-B432-71950F7FA339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K75" i="2"/>
  <c r="K74" i="2"/>
  <c r="K73" i="2"/>
  <c r="K34" i="2"/>
  <c r="C34" i="1"/>
  <c r="K71" i="2"/>
  <c r="K70" i="2"/>
  <c r="K68" i="2"/>
  <c r="K65" i="2"/>
  <c r="K60" i="2"/>
  <c r="K53" i="2"/>
  <c r="K45" i="2"/>
  <c r="G88" i="2"/>
  <c r="K88" i="2"/>
  <c r="G32" i="2"/>
  <c r="G31" i="2"/>
  <c r="G30" i="2"/>
  <c r="G29" i="2"/>
  <c r="G27" i="2"/>
  <c r="G26" i="2"/>
  <c r="G23" i="2"/>
  <c r="J20" i="2"/>
  <c r="I20" i="2"/>
  <c r="H20" i="2"/>
  <c r="G20" i="2"/>
  <c r="F20" i="2"/>
  <c r="F22" i="2" s="1"/>
  <c r="E20" i="2"/>
  <c r="E22" i="2" s="1"/>
  <c r="D20" i="2"/>
  <c r="C20" i="2"/>
  <c r="J12" i="2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C11" i="2"/>
  <c r="J9" i="2"/>
  <c r="I9" i="2"/>
  <c r="H9" i="2"/>
  <c r="G9" i="2"/>
  <c r="F9" i="2"/>
  <c r="E9" i="2"/>
  <c r="D9" i="2"/>
  <c r="C9" i="2"/>
  <c r="J22" i="2"/>
  <c r="I22" i="2"/>
  <c r="H22" i="2"/>
  <c r="G22" i="2"/>
  <c r="D22" i="2"/>
  <c r="C22" i="2"/>
  <c r="J17" i="2"/>
  <c r="I17" i="2"/>
  <c r="H17" i="2"/>
  <c r="G17" i="2"/>
  <c r="F17" i="2"/>
  <c r="E17" i="2"/>
  <c r="D17" i="2"/>
  <c r="J10" i="2"/>
  <c r="I10" i="2"/>
  <c r="H10" i="2"/>
  <c r="G10" i="2"/>
  <c r="F10" i="2"/>
  <c r="E10" i="2"/>
  <c r="D10" i="2"/>
  <c r="C10" i="2"/>
  <c r="C17" i="2" s="1"/>
  <c r="J6" i="2"/>
  <c r="I6" i="2"/>
  <c r="H6" i="2"/>
  <c r="G6" i="2"/>
  <c r="F6" i="2"/>
  <c r="E6" i="2"/>
  <c r="D6" i="2"/>
  <c r="C6" i="2"/>
  <c r="K26" i="2"/>
  <c r="K27" i="2"/>
  <c r="K12" i="2"/>
  <c r="K11" i="2"/>
  <c r="C7" i="1"/>
  <c r="C8" i="1" s="1"/>
  <c r="K6" i="2"/>
  <c r="K9" i="2"/>
  <c r="C11" i="1"/>
  <c r="C12" i="1" l="1"/>
  <c r="K10" i="2"/>
  <c r="K17" i="2" l="1"/>
  <c r="K29" i="2"/>
  <c r="K20" i="2" l="1"/>
  <c r="K30" i="2"/>
  <c r="K22" i="2" l="1"/>
  <c r="K32" i="2"/>
  <c r="K23" i="2" l="1"/>
  <c r="K31" i="2"/>
</calcChain>
</file>

<file path=xl/sharedStrings.xml><?xml version="1.0" encoding="utf-8"?>
<sst xmlns="http://schemas.openxmlformats.org/spreadsheetml/2006/main" count="107" uniqueCount="98">
  <si>
    <t>$ESTC</t>
  </si>
  <si>
    <t>Elastic NV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</si>
  <si>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</si>
  <si>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</si>
  <si>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</si>
  <si>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</si>
  <si>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</si>
  <si>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</si>
  <si>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</si>
  <si>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</si>
  <si>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American-Dutch search AI company - primary product is "Elastic Stack"</t>
  </si>
  <si>
    <t>Profile</t>
  </si>
  <si>
    <t>Management</t>
  </si>
  <si>
    <t>HQ</t>
  </si>
  <si>
    <t>Founded</t>
  </si>
  <si>
    <t>IPO</t>
  </si>
  <si>
    <t>DAU</t>
  </si>
  <si>
    <t>Update</t>
  </si>
  <si>
    <t>IR</t>
  </si>
  <si>
    <t>Valuation Metrics</t>
  </si>
  <si>
    <t>P/E</t>
  </si>
  <si>
    <t>P/B</t>
  </si>
  <si>
    <t>P/S</t>
  </si>
  <si>
    <t>Stockopedia</t>
  </si>
  <si>
    <t>Q125</t>
  </si>
  <si>
    <t>Q424</t>
  </si>
  <si>
    <t>Q324</t>
  </si>
  <si>
    <t>Q224</t>
  </si>
  <si>
    <t>Q124</t>
  </si>
  <si>
    <t>Q423</t>
  </si>
  <si>
    <t>Q323</t>
  </si>
  <si>
    <t>Q223</t>
  </si>
  <si>
    <t>Q123</t>
  </si>
  <si>
    <t>Q225</t>
  </si>
  <si>
    <t>Subscription</t>
  </si>
  <si>
    <t>Services</t>
  </si>
  <si>
    <t>Revenue</t>
  </si>
  <si>
    <t>COGS</t>
  </si>
  <si>
    <t>Gross Profit</t>
  </si>
  <si>
    <t>R&amp;D</t>
  </si>
  <si>
    <t>S&amp;M</t>
  </si>
  <si>
    <t>G&amp;A</t>
  </si>
  <si>
    <t>Restructing</t>
  </si>
  <si>
    <t>Operating Income</t>
  </si>
  <si>
    <t>Interest Expense</t>
  </si>
  <si>
    <t>Pretax Income</t>
  </si>
  <si>
    <t>Taxes</t>
  </si>
  <si>
    <t>Net Income</t>
  </si>
  <si>
    <t>EPS</t>
  </si>
  <si>
    <t>FY24</t>
  </si>
  <si>
    <t>FY23</t>
  </si>
  <si>
    <t>FY22</t>
  </si>
  <si>
    <t>FY21</t>
  </si>
  <si>
    <t>FY20</t>
  </si>
  <si>
    <t>Other Income</t>
  </si>
  <si>
    <t>Subscription Margin</t>
  </si>
  <si>
    <t>Services Margin</t>
  </si>
  <si>
    <t>Gross Margin</t>
  </si>
  <si>
    <t>Services COGS</t>
  </si>
  <si>
    <t>Subscription COGS</t>
  </si>
  <si>
    <t>Subscription GP</t>
  </si>
  <si>
    <t>Services GP</t>
  </si>
  <si>
    <t>Operating Margin</t>
  </si>
  <si>
    <t>Net Margin</t>
  </si>
  <si>
    <t>Tax Rate</t>
  </si>
  <si>
    <t>Balance Sheet</t>
  </si>
  <si>
    <t>Cashflow</t>
  </si>
  <si>
    <t>CFFO</t>
  </si>
  <si>
    <t>CapEx</t>
  </si>
  <si>
    <t>FCF</t>
  </si>
  <si>
    <t>Restricted Cash</t>
  </si>
  <si>
    <t>Marketable Securities</t>
  </si>
  <si>
    <t>A/R</t>
  </si>
  <si>
    <t>Deferred Contracts</t>
  </si>
  <si>
    <t>Prepaid Expenses</t>
  </si>
  <si>
    <t>TCA</t>
  </si>
  <si>
    <t>PP&amp;E</t>
  </si>
  <si>
    <t>Goodwill</t>
  </si>
  <si>
    <t>Operating Lease ROU</t>
  </si>
  <si>
    <t>Intangibles</t>
  </si>
  <si>
    <t>Deferred Taxes</t>
  </si>
  <si>
    <t>Other Assets</t>
  </si>
  <si>
    <t>Assets</t>
  </si>
  <si>
    <t>A/P</t>
  </si>
  <si>
    <t>Accrued Expenses</t>
  </si>
  <si>
    <t>Accrued Compensation</t>
  </si>
  <si>
    <t>Operating Lease Liabiltiies</t>
  </si>
  <si>
    <t>Deferred Revenue</t>
  </si>
  <si>
    <t>TCL</t>
  </si>
  <si>
    <t>Long-Term Debt</t>
  </si>
  <si>
    <t>Other Liabilities</t>
  </si>
  <si>
    <t>Liabilities</t>
  </si>
  <si>
    <t>S/E</t>
  </si>
  <si>
    <t>S/E+L</t>
  </si>
  <si>
    <t>Book Value</t>
  </si>
  <si>
    <t>Book Value per Share</t>
  </si>
  <si>
    <t>Revenue Y/Y</t>
  </si>
  <si>
    <t>Revenue Q/Q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</si>
</sst>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/>
    <xf numFmtId="0" fontId="1" fillId="0" borderId="0" xfId="0" applyFont="1" applyBorder="1"/>
    <xf numFmtId="0" fontId="1" fillId="0" borderId="5" xfId="0" applyFont="1" applyBorder="1" applyAlignment="1">
      <alignment horizontal="right"/>
    </xf>
    <xf numFmtId="3" fontId="1" fillId="0" borderId="0" xfId="0" applyNumberFormat="1" applyFont="1" applyBorder="1"/>
    <xf numFmtId="0" fontId="2" fillId="2" borderId="6" xfId="0" applyFont="1" applyFill="1" applyBorder="1"/>
    <xf numFmtId="3" fontId="1" fillId="0" borderId="7" xfId="0" applyNumberFormat="1" applyFont="1" applyBorder="1"/>
    <xf numFmtId="0" fontId="1" fillId="0" borderId="8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3" fontId="1" fillId="4" borderId="7" xfId="0" applyNumberFormat="1" applyFont="1" applyFill="1" applyBorder="1" applyAlignment="1">
      <alignment horizontal="center"/>
    </xf>
    <xf numFmtId="3" fontId="1" fillId="4" borderId="8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1" applyFont="1" applyAlignment="1">
      <alignment horizontal="right"/>
    </xf>
    <xf numFmtId="14" fontId="4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 indent="1"/>
    </xf>
    <xf numFmtId="3" fontId="2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0" fontId="7" fillId="0" borderId="0" xfId="0" applyFont="1"/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9" fontId="2" fillId="0" borderId="0" xfId="0" applyNumberFormat="1" applyFont="1"/>
    <xf numFmtId="15" fontId="4" fillId="0" borderId="0" xfId="0" applyNumberFormat="1" applyFont="1" applyAlignment="1">
      <alignment horizontal="right"/>
    </xf>
    <xf numFmtId="15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201.q4cdn.com/217177842/files/doc_financials/2025/q1/18656e06-8107-4423-8e2b-6f294543805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EFE0-031E-449B-9B3E-DEA7EAB8B130}">
  <dimension ref="B2:E38"/>
  <sheetViews>
    <sheetView tabSelected="1" workbookViewId="0">
      <selection activeCell="D29" sqref="D29"/>
    </sheetView>
  </sheetViews>
  <sheetFormatPr defaultRowHeight="12.75" x14ac:dyDescent="0.2"/>
  <cols>
    <col min="1" max="3" width="9.140625" style="1"/>
    <col min="4" max="4" width="9.42578125" style="1" bestFit="1" customWidth="1"/>
    <col min="5" max="16384" width="9.140625" style="1"/>
  </cols>
  <sheetData>
    <row r="2" spans="2:5" x14ac:dyDescent="0.2">
      <c r="B2" s="2" t="s">
        <v>0</v>
      </c>
      <c r="E2" s="1" t="s">
        <v>10</v>
      </c>
    </row>
    <row r="3" spans="2:5" x14ac:dyDescent="0.2">
      <c r="B3" s="2" t="s">
        <v>1</v>
      </c>
    </row>
    <row r="5" spans="2:5" x14ac:dyDescent="0.2">
      <c r="B5" s="4" t="s">
        <v>2</v>
      </c>
      <c r="C5" s="5"/>
      <c r="D5" s="6"/>
    </row>
    <row r="6" spans="2:5" x14ac:dyDescent="0.2">
      <c r="B6" s="7" t="s">
        <v>3</v>
      </c>
      <c r="C6" s="8">
        <v>93.15</v>
      </c>
      <c r="D6" s="9"/>
    </row>
    <row r="7" spans="2:5" x14ac:dyDescent="0.2">
      <c r="B7" s="7" t="s">
        <v>4</v>
      </c>
      <c r="C7" s="10">
        <f>+'Financial Model'!K24</f>
        <v>102.284435</v>
      </c>
      <c r="D7" s="9"/>
    </row>
    <row r="8" spans="2:5" x14ac:dyDescent="0.2">
      <c r="B8" s="7" t="s">
        <v>5</v>
      </c>
      <c r="C8" s="10">
        <f>C6*C7</f>
        <v>9527.7951202500008</v>
      </c>
      <c r="D8" s="9"/>
    </row>
    <row r="9" spans="2:5" x14ac:dyDescent="0.2">
      <c r="B9" s="7" t="s">
        <v>6</v>
      </c>
      <c r="C9" s="10">
        <f>+'Financial Model'!K73</f>
        <v>1147.33</v>
      </c>
      <c r="D9" s="9"/>
    </row>
    <row r="10" spans="2:5" x14ac:dyDescent="0.2">
      <c r="B10" s="7" t="s">
        <v>7</v>
      </c>
      <c r="C10" s="10">
        <f>+'Financial Model'!K74</f>
        <v>568.88699999999994</v>
      </c>
      <c r="D10" s="9"/>
    </row>
    <row r="11" spans="2:5" x14ac:dyDescent="0.2">
      <c r="B11" s="7" t="s">
        <v>8</v>
      </c>
      <c r="C11" s="10">
        <f>C9-C10</f>
        <v>578.44299999999998</v>
      </c>
      <c r="D11" s="9"/>
    </row>
    <row r="12" spans="2:5" x14ac:dyDescent="0.2">
      <c r="B12" s="11" t="s">
        <v>9</v>
      </c>
      <c r="C12" s="12">
        <f>C8-C11</f>
        <v>8949.3521202500015</v>
      </c>
      <c r="D12" s="13"/>
    </row>
    <row r="15" spans="2:5" x14ac:dyDescent="0.2">
      <c r="B15" s="4" t="s">
        <v>12</v>
      </c>
      <c r="C15" s="5"/>
      <c r="D15" s="6"/>
    </row>
    <row r="16" spans="2:5" x14ac:dyDescent="0.2">
      <c r="B16" s="16"/>
      <c r="C16" s="18"/>
      <c r="D16" s="19"/>
    </row>
    <row r="17" spans="2:4" x14ac:dyDescent="0.2">
      <c r="B17" s="16"/>
      <c r="C17" s="18"/>
      <c r="D17" s="19"/>
    </row>
    <row r="18" spans="2:4" x14ac:dyDescent="0.2">
      <c r="B18" s="16"/>
      <c r="C18" s="18"/>
      <c r="D18" s="19"/>
    </row>
    <row r="19" spans="2:4" x14ac:dyDescent="0.2">
      <c r="B19" s="20"/>
      <c r="C19" s="21"/>
      <c r="D19" s="22"/>
    </row>
    <row r="22" spans="2:4" x14ac:dyDescent="0.2">
      <c r="B22" s="4" t="s">
        <v>11</v>
      </c>
      <c r="C22" s="5"/>
      <c r="D22" s="6"/>
    </row>
    <row r="23" spans="2:4" x14ac:dyDescent="0.2">
      <c r="B23" s="23" t="s">
        <v>13</v>
      </c>
      <c r="C23" s="18"/>
      <c r="D23" s="19"/>
    </row>
    <row r="24" spans="2:4" x14ac:dyDescent="0.2">
      <c r="B24" s="23" t="s">
        <v>14</v>
      </c>
      <c r="C24" s="18"/>
      <c r="D24" s="19"/>
    </row>
    <row r="25" spans="2:4" x14ac:dyDescent="0.2">
      <c r="B25" s="23" t="s">
        <v>15</v>
      </c>
      <c r="C25" s="18"/>
      <c r="D25" s="19"/>
    </row>
    <row r="26" spans="2:4" x14ac:dyDescent="0.2">
      <c r="B26" s="23"/>
      <c r="C26" s="18"/>
      <c r="D26" s="19"/>
    </row>
    <row r="27" spans="2:4" x14ac:dyDescent="0.2">
      <c r="B27" s="23" t="s">
        <v>16</v>
      </c>
      <c r="C27" s="18"/>
      <c r="D27" s="19"/>
    </row>
    <row r="28" spans="2:4" x14ac:dyDescent="0.2">
      <c r="B28" s="23"/>
      <c r="C28" s="18"/>
      <c r="D28" s="19"/>
    </row>
    <row r="29" spans="2:4" x14ac:dyDescent="0.2">
      <c r="B29" s="23" t="s">
        <v>17</v>
      </c>
      <c r="C29" s="17" t="s">
        <v>24</v>
      </c>
      <c r="D29" s="37">
        <v>45524</v>
      </c>
    </row>
    <row r="30" spans="2:4" x14ac:dyDescent="0.2">
      <c r="B30" s="24" t="s">
        <v>18</v>
      </c>
      <c r="C30" s="21"/>
      <c r="D30" s="22"/>
    </row>
    <row r="33" spans="2:4" x14ac:dyDescent="0.2">
      <c r="B33" s="4" t="s">
        <v>19</v>
      </c>
      <c r="C33" s="5"/>
      <c r="D33" s="6"/>
    </row>
    <row r="34" spans="2:4" x14ac:dyDescent="0.2">
      <c r="B34" s="23" t="s">
        <v>21</v>
      </c>
      <c r="C34" s="33">
        <f>+C6/'Financial Model'!K71</f>
        <v>12.550196094773931</v>
      </c>
      <c r="D34" s="34"/>
    </row>
    <row r="35" spans="2:4" x14ac:dyDescent="0.2">
      <c r="B35" s="23" t="s">
        <v>22</v>
      </c>
      <c r="C35" s="18"/>
      <c r="D35" s="19"/>
    </row>
    <row r="36" spans="2:4" x14ac:dyDescent="0.2">
      <c r="B36" s="23" t="s">
        <v>20</v>
      </c>
      <c r="C36" s="18"/>
      <c r="D36" s="19"/>
    </row>
    <row r="37" spans="2:4" x14ac:dyDescent="0.2">
      <c r="B37" s="23"/>
      <c r="C37" s="18"/>
      <c r="D37" s="19"/>
    </row>
    <row r="38" spans="2:4" x14ac:dyDescent="0.2">
      <c r="B38" s="23" t="s">
        <v>23</v>
      </c>
      <c r="C38" s="18"/>
      <c r="D38" s="19"/>
    </row>
  </sheetData>
  <mergeCells count="20">
    <mergeCell ref="C36:D36"/>
    <mergeCell ref="C37:D37"/>
    <mergeCell ref="C38:D38"/>
    <mergeCell ref="C28:D28"/>
    <mergeCell ref="C30:D30"/>
    <mergeCell ref="B33:D33"/>
    <mergeCell ref="C34:D34"/>
    <mergeCell ref="C35:D35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8:D18"/>
    <mergeCell ref="C19:D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F81E-C7BC-429A-AF70-7B66A6FE5D82}">
  <dimension ref="A1:S8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3" sqref="K3"/>
    </sheetView>
  </sheetViews>
  <sheetFormatPr defaultRowHeight="12.75" x14ac:dyDescent="0.2"/>
  <cols>
    <col min="1" max="1" width="4.28515625" style="1" customWidth="1"/>
    <col min="2" max="2" width="23.28515625" style="1" bestFit="1" customWidth="1"/>
    <col min="3" max="16384" width="9.140625" style="1"/>
  </cols>
  <sheetData>
    <row r="1" spans="1:19" s="25" customFormat="1" x14ac:dyDescent="0.2">
      <c r="C1" s="25" t="s">
        <v>32</v>
      </c>
      <c r="D1" s="25" t="s">
        <v>31</v>
      </c>
      <c r="E1" s="25" t="s">
        <v>30</v>
      </c>
      <c r="F1" s="25" t="s">
        <v>29</v>
      </c>
      <c r="G1" s="25" t="s">
        <v>28</v>
      </c>
      <c r="H1" s="25" t="s">
        <v>27</v>
      </c>
      <c r="I1" s="25" t="s">
        <v>26</v>
      </c>
      <c r="J1" s="25" t="s">
        <v>25</v>
      </c>
      <c r="K1" s="26" t="s">
        <v>24</v>
      </c>
      <c r="L1" s="25" t="s">
        <v>33</v>
      </c>
      <c r="O1" s="25" t="s">
        <v>53</v>
      </c>
      <c r="P1" s="25" t="s">
        <v>52</v>
      </c>
      <c r="Q1" s="25" t="s">
        <v>51</v>
      </c>
      <c r="R1" s="25" t="s">
        <v>50</v>
      </c>
      <c r="S1" s="25" t="s">
        <v>49</v>
      </c>
    </row>
    <row r="2" spans="1:19" s="15" customFormat="1" x14ac:dyDescent="0.2">
      <c r="A2" s="14"/>
      <c r="G2" s="27">
        <v>45138</v>
      </c>
      <c r="K2" s="27">
        <v>45504</v>
      </c>
    </row>
    <row r="3" spans="1:19" s="15" customFormat="1" x14ac:dyDescent="0.2">
      <c r="A3" s="14"/>
      <c r="K3" s="36">
        <v>45524</v>
      </c>
    </row>
    <row r="4" spans="1:19" s="3" customFormat="1" x14ac:dyDescent="0.2">
      <c r="B4" s="28" t="s">
        <v>34</v>
      </c>
      <c r="G4" s="3">
        <v>270.24700000000001</v>
      </c>
      <c r="K4" s="3">
        <v>323.774</v>
      </c>
    </row>
    <row r="5" spans="1:19" s="3" customFormat="1" x14ac:dyDescent="0.2">
      <c r="B5" s="28" t="s">
        <v>35</v>
      </c>
      <c r="G5" s="3">
        <v>23.506</v>
      </c>
      <c r="K5" s="3">
        <v>23.646000000000001</v>
      </c>
    </row>
    <row r="6" spans="1:19" s="29" customFormat="1" x14ac:dyDescent="0.2">
      <c r="B6" s="29" t="s">
        <v>36</v>
      </c>
      <c r="C6" s="29">
        <f t="shared" ref="C6:J6" si="0">+C4+C5</f>
        <v>0</v>
      </c>
      <c r="D6" s="29">
        <f t="shared" si="0"/>
        <v>0</v>
      </c>
      <c r="E6" s="29">
        <f t="shared" si="0"/>
        <v>0</v>
      </c>
      <c r="F6" s="29">
        <f t="shared" si="0"/>
        <v>0</v>
      </c>
      <c r="G6" s="29">
        <f t="shared" si="0"/>
        <v>293.75300000000004</v>
      </c>
      <c r="H6" s="29">
        <f t="shared" si="0"/>
        <v>0</v>
      </c>
      <c r="I6" s="29">
        <f t="shared" si="0"/>
        <v>0</v>
      </c>
      <c r="J6" s="29">
        <f t="shared" si="0"/>
        <v>0</v>
      </c>
      <c r="K6" s="29">
        <f>+K4+K5</f>
        <v>347.42</v>
      </c>
    </row>
    <row r="7" spans="1:19" s="3" customFormat="1" x14ac:dyDescent="0.2">
      <c r="B7" s="28" t="s">
        <v>59</v>
      </c>
      <c r="G7" s="3">
        <v>57.265999999999998</v>
      </c>
      <c r="K7" s="3">
        <v>68.346999999999994</v>
      </c>
    </row>
    <row r="8" spans="1:19" s="3" customFormat="1" x14ac:dyDescent="0.2">
      <c r="B8" s="28" t="s">
        <v>58</v>
      </c>
      <c r="G8" s="3">
        <v>20.210999999999999</v>
      </c>
      <c r="K8" s="3">
        <v>23.41</v>
      </c>
    </row>
    <row r="9" spans="1:19" s="3" customFormat="1" x14ac:dyDescent="0.2">
      <c r="B9" s="3" t="s">
        <v>37</v>
      </c>
      <c r="C9" s="3">
        <f t="shared" ref="C9:J9" si="1">+C7+C8</f>
        <v>0</v>
      </c>
      <c r="D9" s="3">
        <f t="shared" si="1"/>
        <v>0</v>
      </c>
      <c r="E9" s="3">
        <f t="shared" si="1"/>
        <v>0</v>
      </c>
      <c r="F9" s="3">
        <f t="shared" si="1"/>
        <v>0</v>
      </c>
      <c r="G9" s="3">
        <f t="shared" si="1"/>
        <v>77.477000000000004</v>
      </c>
      <c r="H9" s="3">
        <f t="shared" si="1"/>
        <v>0</v>
      </c>
      <c r="I9" s="3">
        <f t="shared" si="1"/>
        <v>0</v>
      </c>
      <c r="J9" s="3">
        <f t="shared" si="1"/>
        <v>0</v>
      </c>
      <c r="K9" s="3">
        <f>+K7+K8</f>
        <v>91.756999999999991</v>
      </c>
    </row>
    <row r="10" spans="1:19" s="29" customFormat="1" x14ac:dyDescent="0.2">
      <c r="B10" s="29" t="s">
        <v>38</v>
      </c>
      <c r="C10" s="29">
        <f t="shared" ref="C10:J10" si="2">+C6-C9</f>
        <v>0</v>
      </c>
      <c r="D10" s="29">
        <f t="shared" si="2"/>
        <v>0</v>
      </c>
      <c r="E10" s="29">
        <f t="shared" si="2"/>
        <v>0</v>
      </c>
      <c r="F10" s="29">
        <f t="shared" si="2"/>
        <v>0</v>
      </c>
      <c r="G10" s="29">
        <f t="shared" si="2"/>
        <v>216.27600000000004</v>
      </c>
      <c r="H10" s="29">
        <f t="shared" si="2"/>
        <v>0</v>
      </c>
      <c r="I10" s="29">
        <f t="shared" si="2"/>
        <v>0</v>
      </c>
      <c r="J10" s="29">
        <f t="shared" si="2"/>
        <v>0</v>
      </c>
      <c r="K10" s="29">
        <f>+K6-K9</f>
        <v>255.66300000000001</v>
      </c>
    </row>
    <row r="11" spans="1:19" s="3" customFormat="1" x14ac:dyDescent="0.2">
      <c r="B11" s="28" t="s">
        <v>60</v>
      </c>
      <c r="C11" s="3">
        <f t="shared" ref="C11:K11" si="3">+C4-C7</f>
        <v>0</v>
      </c>
      <c r="D11" s="3">
        <f t="shared" si="3"/>
        <v>0</v>
      </c>
      <c r="E11" s="3">
        <f t="shared" si="3"/>
        <v>0</v>
      </c>
      <c r="F11" s="3">
        <f t="shared" si="3"/>
        <v>0</v>
      </c>
      <c r="G11" s="3">
        <f t="shared" si="3"/>
        <v>212.98100000000002</v>
      </c>
      <c r="H11" s="3">
        <f t="shared" si="3"/>
        <v>0</v>
      </c>
      <c r="I11" s="3">
        <f t="shared" si="3"/>
        <v>0</v>
      </c>
      <c r="J11" s="3">
        <f t="shared" si="3"/>
        <v>0</v>
      </c>
      <c r="K11" s="3">
        <f>+K4-K7</f>
        <v>255.42700000000002</v>
      </c>
    </row>
    <row r="12" spans="1:19" s="3" customFormat="1" x14ac:dyDescent="0.2">
      <c r="B12" s="28" t="s">
        <v>61</v>
      </c>
      <c r="C12" s="3">
        <f t="shared" ref="C12:K12" si="4">+C5-C8</f>
        <v>0</v>
      </c>
      <c r="D12" s="3">
        <f t="shared" si="4"/>
        <v>0</v>
      </c>
      <c r="E12" s="3">
        <f t="shared" si="4"/>
        <v>0</v>
      </c>
      <c r="F12" s="3">
        <f t="shared" si="4"/>
        <v>0</v>
      </c>
      <c r="G12" s="3">
        <f t="shared" si="4"/>
        <v>3.2950000000000017</v>
      </c>
      <c r="H12" s="3">
        <f t="shared" si="4"/>
        <v>0</v>
      </c>
      <c r="I12" s="3">
        <f t="shared" si="4"/>
        <v>0</v>
      </c>
      <c r="J12" s="3">
        <f t="shared" si="4"/>
        <v>0</v>
      </c>
      <c r="K12" s="3">
        <f>+K5-K8</f>
        <v>0.23600000000000065</v>
      </c>
    </row>
    <row r="13" spans="1:19" s="3" customFormat="1" x14ac:dyDescent="0.2">
      <c r="B13" s="3" t="s">
        <v>39</v>
      </c>
      <c r="G13" s="3">
        <v>80.69</v>
      </c>
      <c r="K13" s="3">
        <v>89.331999999999994</v>
      </c>
    </row>
    <row r="14" spans="1:19" s="3" customFormat="1" x14ac:dyDescent="0.2">
      <c r="B14" s="3" t="s">
        <v>40</v>
      </c>
      <c r="G14" s="3">
        <v>133.16900000000001</v>
      </c>
      <c r="K14" s="3">
        <v>157.357</v>
      </c>
    </row>
    <row r="15" spans="1:19" s="3" customFormat="1" x14ac:dyDescent="0.2">
      <c r="B15" s="3" t="s">
        <v>41</v>
      </c>
      <c r="G15" s="3">
        <v>37.939</v>
      </c>
      <c r="K15" s="3">
        <v>42.673000000000002</v>
      </c>
    </row>
    <row r="16" spans="1:19" s="3" customFormat="1" x14ac:dyDescent="0.2">
      <c r="B16" s="3" t="s">
        <v>42</v>
      </c>
      <c r="G16" s="3">
        <v>0.72499999999999998</v>
      </c>
      <c r="K16" s="3">
        <v>0.13900000000000001</v>
      </c>
    </row>
    <row r="17" spans="2:11" s="29" customFormat="1" x14ac:dyDescent="0.2">
      <c r="B17" s="29" t="s">
        <v>43</v>
      </c>
      <c r="C17" s="29">
        <f t="shared" ref="C17:J17" si="5">+C10-SUM(C13:C16)</f>
        <v>0</v>
      </c>
      <c r="D17" s="29">
        <f t="shared" si="5"/>
        <v>0</v>
      </c>
      <c r="E17" s="29">
        <f t="shared" si="5"/>
        <v>0</v>
      </c>
      <c r="F17" s="29">
        <f t="shared" si="5"/>
        <v>0</v>
      </c>
      <c r="G17" s="29">
        <f t="shared" si="5"/>
        <v>-36.246999999999957</v>
      </c>
      <c r="H17" s="29">
        <f t="shared" si="5"/>
        <v>0</v>
      </c>
      <c r="I17" s="29">
        <f t="shared" si="5"/>
        <v>0</v>
      </c>
      <c r="J17" s="29">
        <f t="shared" si="5"/>
        <v>0</v>
      </c>
      <c r="K17" s="29">
        <f>+K10-SUM(K13:K16)</f>
        <v>-33.837999999999965</v>
      </c>
    </row>
    <row r="18" spans="2:11" s="3" customFormat="1" x14ac:dyDescent="0.2">
      <c r="B18" s="3" t="s">
        <v>44</v>
      </c>
      <c r="G18" s="3">
        <v>6.306</v>
      </c>
      <c r="K18" s="3">
        <v>6.5259999999999998</v>
      </c>
    </row>
    <row r="19" spans="2:11" s="3" customFormat="1" x14ac:dyDescent="0.2">
      <c r="B19" s="3" t="s">
        <v>54</v>
      </c>
      <c r="G19" s="3">
        <v>7.3</v>
      </c>
      <c r="K19" s="3">
        <v>11.208</v>
      </c>
    </row>
    <row r="20" spans="2:11" s="3" customFormat="1" x14ac:dyDescent="0.2">
      <c r="B20" s="3" t="s">
        <v>45</v>
      </c>
      <c r="C20" s="3">
        <f t="shared" ref="C20:J20" si="6">+C17-C18+C19</f>
        <v>0</v>
      </c>
      <c r="D20" s="3">
        <f t="shared" si="6"/>
        <v>0</v>
      </c>
      <c r="E20" s="3">
        <f t="shared" si="6"/>
        <v>0</v>
      </c>
      <c r="F20" s="3">
        <f t="shared" si="6"/>
        <v>0</v>
      </c>
      <c r="G20" s="3">
        <f t="shared" si="6"/>
        <v>-35.252999999999957</v>
      </c>
      <c r="H20" s="3">
        <f t="shared" si="6"/>
        <v>0</v>
      </c>
      <c r="I20" s="3">
        <f t="shared" si="6"/>
        <v>0</v>
      </c>
      <c r="J20" s="3">
        <f t="shared" si="6"/>
        <v>0</v>
      </c>
      <c r="K20" s="3">
        <f>+K17-K18+K19</f>
        <v>-29.155999999999963</v>
      </c>
    </row>
    <row r="21" spans="2:11" s="3" customFormat="1" x14ac:dyDescent="0.2">
      <c r="B21" s="3" t="s">
        <v>46</v>
      </c>
      <c r="G21" s="3">
        <v>13.255000000000001</v>
      </c>
      <c r="K21" s="3">
        <v>20.071000000000002</v>
      </c>
    </row>
    <row r="22" spans="2:11" s="29" customFormat="1" x14ac:dyDescent="0.2">
      <c r="B22" s="29" t="s">
        <v>47</v>
      </c>
      <c r="C22" s="29">
        <f t="shared" ref="C22:J22" si="7">+C20-C21</f>
        <v>0</v>
      </c>
      <c r="D22" s="29">
        <f t="shared" si="7"/>
        <v>0</v>
      </c>
      <c r="E22" s="29">
        <f t="shared" si="7"/>
        <v>0</v>
      </c>
      <c r="F22" s="29">
        <f t="shared" si="7"/>
        <v>0</v>
      </c>
      <c r="G22" s="29">
        <f t="shared" si="7"/>
        <v>-48.50799999999996</v>
      </c>
      <c r="H22" s="29">
        <f t="shared" si="7"/>
        <v>0</v>
      </c>
      <c r="I22" s="29">
        <f t="shared" si="7"/>
        <v>0</v>
      </c>
      <c r="J22" s="29">
        <f t="shared" si="7"/>
        <v>0</v>
      </c>
      <c r="K22" s="29">
        <f>+K20-K21</f>
        <v>-49.226999999999961</v>
      </c>
    </row>
    <row r="23" spans="2:11" s="30" customFormat="1" x14ac:dyDescent="0.2">
      <c r="B23" s="30" t="s">
        <v>48</v>
      </c>
      <c r="G23" s="30">
        <f>+G22/G24</f>
        <v>-0.49527246463875757</v>
      </c>
      <c r="K23" s="30">
        <f>+K22/K24</f>
        <v>-0.48127557237814295</v>
      </c>
    </row>
    <row r="24" spans="2:11" s="3" customFormat="1" x14ac:dyDescent="0.2">
      <c r="B24" s="3" t="s">
        <v>4</v>
      </c>
      <c r="G24" s="3">
        <v>97.942048999999997</v>
      </c>
      <c r="K24" s="3">
        <v>102.284435</v>
      </c>
    </row>
    <row r="26" spans="2:11" s="31" customFormat="1" x14ac:dyDescent="0.2">
      <c r="B26" s="31" t="s">
        <v>55</v>
      </c>
      <c r="G26" s="31">
        <f>+G11/G4</f>
        <v>0.78809755519950275</v>
      </c>
      <c r="K26" s="31">
        <f>+K11/K4</f>
        <v>0.78890522401428165</v>
      </c>
    </row>
    <row r="27" spans="2:11" s="31" customFormat="1" x14ac:dyDescent="0.2">
      <c r="B27" s="31" t="s">
        <v>56</v>
      </c>
      <c r="G27" s="31">
        <f>+G12/G5</f>
        <v>0.14017697609121083</v>
      </c>
      <c r="K27" s="31">
        <f>+K12/K5</f>
        <v>9.9805463926245733E-3</v>
      </c>
    </row>
    <row r="29" spans="2:11" s="31" customFormat="1" x14ac:dyDescent="0.2">
      <c r="B29" s="31" t="s">
        <v>57</v>
      </c>
      <c r="G29" s="31">
        <f>+G10/G6</f>
        <v>0.73625120424302049</v>
      </c>
      <c r="K29" s="31">
        <f>+K10/K6</f>
        <v>0.73589027689827868</v>
      </c>
    </row>
    <row r="30" spans="2:11" s="31" customFormat="1" x14ac:dyDescent="0.2">
      <c r="B30" s="31" t="s">
        <v>62</v>
      </c>
      <c r="G30" s="31">
        <f>+G17/G6</f>
        <v>-0.12339278237158413</v>
      </c>
      <c r="K30" s="31">
        <f>+K17/K6</f>
        <v>-9.7397962120775908E-2</v>
      </c>
    </row>
    <row r="31" spans="2:11" s="31" customFormat="1" x14ac:dyDescent="0.2">
      <c r="B31" s="31" t="s">
        <v>63</v>
      </c>
      <c r="G31" s="31">
        <f>+G22/G6</f>
        <v>-0.16513193056751746</v>
      </c>
      <c r="K31" s="31">
        <f>+K22/K6</f>
        <v>-0.141693051637787</v>
      </c>
    </row>
    <row r="32" spans="2:11" s="31" customFormat="1" x14ac:dyDescent="0.2">
      <c r="B32" s="31" t="s">
        <v>64</v>
      </c>
      <c r="G32" s="31">
        <f>+G21/G20</f>
        <v>-0.37599636910333922</v>
      </c>
      <c r="K32" s="31">
        <f>+K21/K20</f>
        <v>-0.68840032926327432</v>
      </c>
    </row>
    <row r="34" spans="2:11" s="35" customFormat="1" x14ac:dyDescent="0.2">
      <c r="B34" s="35" t="s">
        <v>96</v>
      </c>
      <c r="K34" s="35">
        <f>+K6/G6-1</f>
        <v>0.18269430439859335</v>
      </c>
    </row>
    <row r="35" spans="2:11" s="31" customFormat="1" x14ac:dyDescent="0.2">
      <c r="B35" s="31" t="s">
        <v>97</v>
      </c>
    </row>
    <row r="38" spans="2:11" x14ac:dyDescent="0.2">
      <c r="B38" s="32" t="s">
        <v>65</v>
      </c>
    </row>
    <row r="39" spans="2:11" s="29" customFormat="1" x14ac:dyDescent="0.2">
      <c r="B39" s="29" t="s">
        <v>6</v>
      </c>
      <c r="K39" s="29">
        <v>594.87099999999998</v>
      </c>
    </row>
    <row r="40" spans="2:11" s="3" customFormat="1" x14ac:dyDescent="0.2">
      <c r="B40" s="3" t="s">
        <v>70</v>
      </c>
      <c r="K40" s="3">
        <v>3.4630000000000001</v>
      </c>
    </row>
    <row r="41" spans="2:11" s="29" customFormat="1" x14ac:dyDescent="0.2">
      <c r="B41" s="29" t="s">
        <v>71</v>
      </c>
      <c r="K41" s="29">
        <v>552.45899999999995</v>
      </c>
    </row>
    <row r="42" spans="2:11" s="3" customFormat="1" x14ac:dyDescent="0.2">
      <c r="B42" s="3" t="s">
        <v>72</v>
      </c>
      <c r="K42" s="3">
        <v>196.47399999999999</v>
      </c>
    </row>
    <row r="43" spans="2:11" s="3" customFormat="1" x14ac:dyDescent="0.2">
      <c r="B43" s="3" t="s">
        <v>73</v>
      </c>
      <c r="K43" s="3">
        <v>76.265000000000001</v>
      </c>
    </row>
    <row r="44" spans="2:11" s="3" customFormat="1" x14ac:dyDescent="0.2">
      <c r="B44" s="3" t="s">
        <v>74</v>
      </c>
      <c r="K44" s="3">
        <v>42.643000000000001</v>
      </c>
    </row>
    <row r="45" spans="2:11" s="3" customFormat="1" x14ac:dyDescent="0.2">
      <c r="B45" s="3" t="s">
        <v>75</v>
      </c>
      <c r="K45" s="3">
        <f>+SUM(K39:K44)</f>
        <v>1466.175</v>
      </c>
    </row>
    <row r="46" spans="2:11" s="3" customFormat="1" x14ac:dyDescent="0.2">
      <c r="B46" s="3" t="s">
        <v>76</v>
      </c>
      <c r="K46" s="3">
        <v>4.9530000000000003</v>
      </c>
    </row>
    <row r="47" spans="2:11" s="3" customFormat="1" x14ac:dyDescent="0.2">
      <c r="B47" s="3" t="s">
        <v>77</v>
      </c>
      <c r="K47" s="3">
        <v>319.41699999999997</v>
      </c>
    </row>
    <row r="48" spans="2:11" s="3" customFormat="1" x14ac:dyDescent="0.2">
      <c r="B48" s="3" t="s">
        <v>78</v>
      </c>
      <c r="K48" s="3">
        <v>17.757999999999999</v>
      </c>
    </row>
    <row r="49" spans="2:11" s="3" customFormat="1" x14ac:dyDescent="0.2">
      <c r="B49" s="3" t="s">
        <v>79</v>
      </c>
      <c r="K49" s="3">
        <v>17.341000000000001</v>
      </c>
    </row>
    <row r="50" spans="2:11" s="3" customFormat="1" x14ac:dyDescent="0.2">
      <c r="B50" s="3" t="s">
        <v>73</v>
      </c>
      <c r="K50" s="3">
        <v>107.467</v>
      </c>
    </row>
    <row r="51" spans="2:11" s="3" customFormat="1" x14ac:dyDescent="0.2">
      <c r="B51" s="3" t="s">
        <v>80</v>
      </c>
      <c r="K51" s="3">
        <v>210.809</v>
      </c>
    </row>
    <row r="52" spans="2:11" s="3" customFormat="1" x14ac:dyDescent="0.2">
      <c r="B52" s="3" t="s">
        <v>81</v>
      </c>
      <c r="K52" s="3">
        <v>6.58</v>
      </c>
    </row>
    <row r="53" spans="2:11" s="3" customFormat="1" x14ac:dyDescent="0.2">
      <c r="B53" s="3" t="s">
        <v>82</v>
      </c>
      <c r="K53" s="3">
        <f>+SUM(K45:K52)</f>
        <v>2150.5</v>
      </c>
    </row>
    <row r="54" spans="2:11" s="3" customFormat="1" x14ac:dyDescent="0.2"/>
    <row r="55" spans="2:11" s="3" customFormat="1" x14ac:dyDescent="0.2">
      <c r="B55" s="3" t="s">
        <v>83</v>
      </c>
      <c r="K55" s="3">
        <v>9.3369999999999997</v>
      </c>
    </row>
    <row r="56" spans="2:11" s="3" customFormat="1" x14ac:dyDescent="0.2">
      <c r="B56" s="3" t="s">
        <v>84</v>
      </c>
      <c r="K56" s="3">
        <v>72.408000000000001</v>
      </c>
    </row>
    <row r="57" spans="2:11" s="3" customFormat="1" x14ac:dyDescent="0.2">
      <c r="B57" s="3" t="s">
        <v>85</v>
      </c>
      <c r="K57" s="3">
        <v>76.08</v>
      </c>
    </row>
    <row r="58" spans="2:11" s="3" customFormat="1" x14ac:dyDescent="0.2">
      <c r="B58" s="3" t="s">
        <v>86</v>
      </c>
      <c r="K58" s="3">
        <v>11.143000000000001</v>
      </c>
    </row>
    <row r="59" spans="2:11" s="3" customFormat="1" x14ac:dyDescent="0.2">
      <c r="B59" s="3" t="s">
        <v>87</v>
      </c>
      <c r="K59" s="3">
        <v>599.52099999999996</v>
      </c>
    </row>
    <row r="60" spans="2:11" s="3" customFormat="1" x14ac:dyDescent="0.2">
      <c r="B60" s="3" t="s">
        <v>88</v>
      </c>
      <c r="K60" s="3">
        <f>+SUM(K55:K59)</f>
        <v>768.48899999999992</v>
      </c>
    </row>
    <row r="61" spans="2:11" s="3" customFormat="1" x14ac:dyDescent="0.2">
      <c r="B61" s="3" t="s">
        <v>87</v>
      </c>
      <c r="K61" s="3">
        <v>27.724</v>
      </c>
    </row>
    <row r="62" spans="2:11" s="29" customFormat="1" x14ac:dyDescent="0.2">
      <c r="B62" s="29" t="s">
        <v>89</v>
      </c>
      <c r="K62" s="29">
        <v>568.88699999999994</v>
      </c>
    </row>
    <row r="63" spans="2:11" s="3" customFormat="1" x14ac:dyDescent="0.2">
      <c r="B63" s="3" t="s">
        <v>86</v>
      </c>
      <c r="K63" s="3">
        <v>10.714</v>
      </c>
    </row>
    <row r="64" spans="2:11" s="3" customFormat="1" x14ac:dyDescent="0.2">
      <c r="B64" s="3" t="s">
        <v>90</v>
      </c>
      <c r="K64" s="3">
        <v>15.510999999999999</v>
      </c>
    </row>
    <row r="65" spans="2:11" s="3" customFormat="1" x14ac:dyDescent="0.2">
      <c r="B65" s="3" t="s">
        <v>91</v>
      </c>
      <c r="K65" s="3">
        <f>+SUM(K60:K64)</f>
        <v>1391.3249999999998</v>
      </c>
    </row>
    <row r="66" spans="2:11" s="3" customFormat="1" x14ac:dyDescent="0.2"/>
    <row r="67" spans="2:11" s="3" customFormat="1" x14ac:dyDescent="0.2">
      <c r="B67" s="3" t="s">
        <v>92</v>
      </c>
      <c r="K67" s="3">
        <v>759.41800000000001</v>
      </c>
    </row>
    <row r="68" spans="2:11" s="3" customFormat="1" x14ac:dyDescent="0.2">
      <c r="B68" s="3" t="s">
        <v>93</v>
      </c>
      <c r="K68" s="3">
        <f>+K67+K65</f>
        <v>2150.7429999999999</v>
      </c>
    </row>
    <row r="70" spans="2:11" x14ac:dyDescent="0.2">
      <c r="B70" s="1" t="s">
        <v>94</v>
      </c>
      <c r="K70" s="3">
        <f>+K53-K65</f>
        <v>759.17500000000018</v>
      </c>
    </row>
    <row r="71" spans="2:11" x14ac:dyDescent="0.2">
      <c r="B71" s="1" t="s">
        <v>95</v>
      </c>
      <c r="K71" s="1">
        <f>+K70/K24</f>
        <v>7.4221947845730405</v>
      </c>
    </row>
    <row r="73" spans="2:11" x14ac:dyDescent="0.2">
      <c r="B73" s="1" t="s">
        <v>6</v>
      </c>
      <c r="K73" s="3">
        <f>+K39+K41</f>
        <v>1147.33</v>
      </c>
    </row>
    <row r="74" spans="2:11" x14ac:dyDescent="0.2">
      <c r="B74" s="1" t="s">
        <v>7</v>
      </c>
      <c r="K74" s="3">
        <f>+K62</f>
        <v>568.88699999999994</v>
      </c>
    </row>
    <row r="75" spans="2:11" x14ac:dyDescent="0.2">
      <c r="B75" s="1" t="s">
        <v>8</v>
      </c>
      <c r="K75" s="3">
        <f>+K73-K74</f>
        <v>578.44299999999998</v>
      </c>
    </row>
    <row r="85" spans="2:11" x14ac:dyDescent="0.2">
      <c r="B85" s="32" t="s">
        <v>66</v>
      </c>
    </row>
    <row r="86" spans="2:11" s="3" customFormat="1" x14ac:dyDescent="0.2">
      <c r="B86" s="3" t="s">
        <v>67</v>
      </c>
      <c r="G86" s="3">
        <v>37.811999999999998</v>
      </c>
      <c r="K86" s="3">
        <v>52.573999999999998</v>
      </c>
    </row>
    <row r="87" spans="2:11" s="3" customFormat="1" x14ac:dyDescent="0.2">
      <c r="B87" s="3" t="s">
        <v>68</v>
      </c>
      <c r="G87" s="3">
        <v>0.63200000000000001</v>
      </c>
      <c r="K87" s="3">
        <v>0.747</v>
      </c>
    </row>
    <row r="88" spans="2:11" s="3" customFormat="1" x14ac:dyDescent="0.2">
      <c r="B88" s="3" t="s">
        <v>69</v>
      </c>
      <c r="G88" s="3">
        <f>+G86-G87</f>
        <v>37.18</v>
      </c>
      <c r="K88" s="3">
        <f>+K86-K87</f>
        <v>51.826999999999998</v>
      </c>
    </row>
  </sheetData>
  <hyperlinks>
    <hyperlink ref="K1" r:id="rId1" xr:uid="{267B7692-FC69-4A91-B418-4E74EE630B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2024-11-21T14:44:30Z</dcterms:created>
  <dcterms:modified xsi:type="dcterms:W3CDTF">2024-11-21T18:51:39Z</dcterms:modified>
</cp:coreProperties>
</file>