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F1A683B-D524-4850-B95C-C77B920B8F42}" xr6:coauthVersionLast="36" xr6:coauthVersionMax="47" xr10:uidLastSave="{00000000-0000-0000-0000-000000000000}"/>
  <bookViews>
    <workbookView xWindow="-120" yWindow="-120" windowWidth="29040" windowHeight="1572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1" i="2"/>
  <c r="Q3" i="2"/>
  <c r="AA21" i="2" l="1"/>
  <c r="AB3" i="2"/>
  <c r="C7" i="1" l="1"/>
  <c r="P73" i="2"/>
  <c r="P69" i="2"/>
  <c r="C10" i="1" s="1"/>
  <c r="P68" i="2"/>
  <c r="C9" i="1" s="1"/>
  <c r="P54" i="2"/>
  <c r="P60" i="2" s="1"/>
  <c r="P63" i="2" s="1"/>
  <c r="P43" i="2"/>
  <c r="P48" i="2" s="1"/>
  <c r="P21" i="2"/>
  <c r="P9" i="2"/>
  <c r="P4" i="2"/>
  <c r="P5" i="2" s="1"/>
  <c r="P8" i="2" s="1"/>
  <c r="P10" i="2" l="1"/>
  <c r="P12" i="2" s="1"/>
  <c r="P13" i="2" s="1"/>
  <c r="P65" i="2"/>
  <c r="P66" i="2" s="1"/>
  <c r="P70" i="2"/>
  <c r="P74" i="2" s="1"/>
  <c r="P16" i="2"/>
  <c r="P17" i="2"/>
  <c r="P19" i="2"/>
  <c r="P18" i="2"/>
  <c r="W73" i="2"/>
  <c r="W77" i="2" s="1"/>
  <c r="V73" i="2"/>
  <c r="V77" i="2" s="1"/>
  <c r="U73" i="2"/>
  <c r="U77" i="2" s="1"/>
  <c r="T73" i="2"/>
  <c r="T77" i="2" s="1"/>
  <c r="S73" i="2"/>
  <c r="S77" i="2" s="1"/>
  <c r="L7" i="1"/>
  <c r="AB14" i="2"/>
  <c r="AB6" i="2"/>
  <c r="AB4" i="2"/>
  <c r="AB5" i="2" s="1"/>
  <c r="O28" i="2"/>
  <c r="O27" i="2"/>
  <c r="O26" i="2"/>
  <c r="Z73" i="2"/>
  <c r="Z77" i="2" s="1"/>
  <c r="Z69" i="2"/>
  <c r="Z68" i="2"/>
  <c r="Z54" i="2"/>
  <c r="Z43" i="2"/>
  <c r="Z48" i="2" s="1"/>
  <c r="Z33" i="2"/>
  <c r="C26" i="1" s="1"/>
  <c r="Z25" i="2"/>
  <c r="Z29" i="2" s="1"/>
  <c r="O11" i="2"/>
  <c r="O7" i="2"/>
  <c r="O6" i="2"/>
  <c r="O14" i="2"/>
  <c r="O3" i="2"/>
  <c r="O2" i="2"/>
  <c r="Z21" i="2"/>
  <c r="Z9" i="2"/>
  <c r="O9" i="2" s="1"/>
  <c r="Z4" i="2"/>
  <c r="O4" i="2" s="1"/>
  <c r="Z5" i="2"/>
  <c r="Z16" i="2" s="1"/>
  <c r="Z60" i="2" l="1"/>
  <c r="Z63" i="2" s="1"/>
  <c r="O5" i="2"/>
  <c r="O16" i="2" s="1"/>
  <c r="C33" i="1"/>
  <c r="P76" i="2"/>
  <c r="Z65" i="2"/>
  <c r="Z66" i="2" s="1"/>
  <c r="Z76" i="2" s="1"/>
  <c r="O22" i="2"/>
  <c r="P22" i="2"/>
  <c r="C25" i="1"/>
  <c r="Z70" i="2"/>
  <c r="Z74" i="2" s="1"/>
  <c r="AB16" i="2"/>
  <c r="AB7" i="2"/>
  <c r="AB8" i="2" s="1"/>
  <c r="O25" i="2"/>
  <c r="Z8" i="2"/>
  <c r="Z10" i="2" s="1"/>
  <c r="Z19" i="2" s="1"/>
  <c r="Z12" i="2"/>
  <c r="Z17" i="2"/>
  <c r="O8" i="2"/>
  <c r="AB17" i="2" l="1"/>
  <c r="Z18" i="2"/>
  <c r="Z13" i="2"/>
  <c r="Z80" i="2"/>
  <c r="Z78" i="2"/>
  <c r="O10" i="2"/>
  <c r="O17" i="2"/>
  <c r="N73" i="2"/>
  <c r="N69" i="2"/>
  <c r="N68" i="2"/>
  <c r="N54" i="2"/>
  <c r="N43" i="2"/>
  <c r="N48" i="2" s="1"/>
  <c r="N5" i="2"/>
  <c r="N8" i="2" s="1"/>
  <c r="N10" i="2" s="1"/>
  <c r="N12" i="2" s="1"/>
  <c r="N18" i="2" s="1"/>
  <c r="N60" i="2" l="1"/>
  <c r="N63" i="2" s="1"/>
  <c r="Z79" i="2"/>
  <c r="N65" i="2"/>
  <c r="N66" i="2" s="1"/>
  <c r="N76" i="2" s="1"/>
  <c r="N70" i="2"/>
  <c r="N74" i="2"/>
  <c r="O12" i="2"/>
  <c r="O19" i="2"/>
  <c r="N13" i="2"/>
  <c r="N19" i="2"/>
  <c r="N16" i="2"/>
  <c r="N17" i="2"/>
  <c r="N21" i="2"/>
  <c r="O13" i="2" l="1"/>
  <c r="O18" i="2"/>
  <c r="X33" i="2"/>
  <c r="W33" i="2"/>
  <c r="V33" i="2"/>
  <c r="U33" i="2"/>
  <c r="T33" i="2"/>
  <c r="S33" i="2"/>
  <c r="Y33" i="2"/>
  <c r="P79" i="2" l="1"/>
  <c r="C36" i="1"/>
  <c r="AC19" i="2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C14" i="2"/>
  <c r="AC6" i="2"/>
  <c r="AD6" i="2" s="1"/>
  <c r="Y25" i="2"/>
  <c r="Y29" i="2" s="1"/>
  <c r="L73" i="2"/>
  <c r="H73" i="2"/>
  <c r="X73" i="2"/>
  <c r="Y73" i="2"/>
  <c r="H69" i="2"/>
  <c r="H68" i="2"/>
  <c r="L69" i="2"/>
  <c r="L68" i="2"/>
  <c r="X69" i="2"/>
  <c r="X68" i="2"/>
  <c r="X70" i="2" s="1"/>
  <c r="Y69" i="2"/>
  <c r="Y68" i="2"/>
  <c r="X54" i="2"/>
  <c r="Y54" i="2"/>
  <c r="X43" i="2"/>
  <c r="X48" i="2" s="1"/>
  <c r="Y43" i="2"/>
  <c r="Y48" i="2" s="1"/>
  <c r="M14" i="2"/>
  <c r="Y21" i="2"/>
  <c r="Y9" i="2"/>
  <c r="Y5" i="2"/>
  <c r="Y8" i="2" s="1"/>
  <c r="Y17" i="2" s="1"/>
  <c r="M11" i="2"/>
  <c r="M7" i="2"/>
  <c r="M6" i="2"/>
  <c r="M4" i="2"/>
  <c r="M3" i="2"/>
  <c r="O21" i="2" s="1"/>
  <c r="D11" i="1"/>
  <c r="D10" i="1"/>
  <c r="D9" i="1"/>
  <c r="D7" i="1"/>
  <c r="X60" i="2" l="1"/>
  <c r="X65" i="2" s="1"/>
  <c r="X66" i="2" s="1"/>
  <c r="X76" i="2" s="1"/>
  <c r="Y60" i="2"/>
  <c r="Y63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M22" i="2"/>
  <c r="N22" i="2"/>
  <c r="AE6" i="2"/>
  <c r="AF6" i="2" s="1"/>
  <c r="AG6" i="2" s="1"/>
  <c r="H70" i="2"/>
  <c r="H74" i="2" s="1"/>
  <c r="Y70" i="2"/>
  <c r="Y74" i="2" s="1"/>
  <c r="Y78" i="2" s="1"/>
  <c r="Y10" i="2"/>
  <c r="Y65" i="2"/>
  <c r="Y66" i="2" s="1"/>
  <c r="Y76" i="2" s="1"/>
  <c r="L70" i="2"/>
  <c r="L74" i="2" s="1"/>
  <c r="X74" i="2"/>
  <c r="X77" i="2"/>
  <c r="Y77" i="2"/>
  <c r="M5" i="2"/>
  <c r="M16" i="2" s="1"/>
  <c r="Y16" i="2"/>
  <c r="M9" i="2"/>
  <c r="T29" i="2"/>
  <c r="S29" i="2"/>
  <c r="T31" i="2"/>
  <c r="S31" i="2"/>
  <c r="T21" i="2"/>
  <c r="S9" i="2"/>
  <c r="T9" i="2"/>
  <c r="S5" i="2"/>
  <c r="S8" i="2" s="1"/>
  <c r="U21" i="2"/>
  <c r="T5" i="2"/>
  <c r="T16" i="2" s="1"/>
  <c r="X63" i="2" l="1"/>
  <c r="AH6" i="2"/>
  <c r="X78" i="2"/>
  <c r="M8" i="2"/>
  <c r="M10" i="2" s="1"/>
  <c r="M12" i="2" s="1"/>
  <c r="Y12" i="2"/>
  <c r="Y80" i="2" s="1"/>
  <c r="Y19" i="2"/>
  <c r="S16" i="2"/>
  <c r="S17" i="2"/>
  <c r="S10" i="2"/>
  <c r="T8" i="2"/>
  <c r="AI6" i="2" l="1"/>
  <c r="AJ6" i="2" s="1"/>
  <c r="M19" i="2"/>
  <c r="M17" i="2"/>
  <c r="Y13" i="2"/>
  <c r="Y79" i="2" s="1"/>
  <c r="Y18" i="2"/>
  <c r="M18" i="2"/>
  <c r="S12" i="2"/>
  <c r="S18" i="2" s="1"/>
  <c r="S19" i="2"/>
  <c r="T17" i="2"/>
  <c r="T10" i="2"/>
  <c r="AK6" i="2" l="1"/>
  <c r="AL6" i="2" s="1"/>
  <c r="AM6" i="2" s="1"/>
  <c r="S13" i="2"/>
  <c r="S79" i="2" s="1"/>
  <c r="T12" i="2"/>
  <c r="T13" i="2" s="1"/>
  <c r="T79" i="2" s="1"/>
  <c r="T19" i="2"/>
  <c r="AN6" i="2" l="1"/>
  <c r="AO6" i="2" s="1"/>
  <c r="T18" i="2"/>
  <c r="AP6" i="2" l="1"/>
  <c r="AQ6" i="2" s="1"/>
  <c r="G14" i="2"/>
  <c r="I14" i="2"/>
  <c r="K14" i="2"/>
  <c r="M13" i="2"/>
  <c r="H21" i="2"/>
  <c r="J21" i="2"/>
  <c r="L21" i="2"/>
  <c r="V21" i="2"/>
  <c r="W21" i="2"/>
  <c r="X21" i="2"/>
  <c r="AT21" i="2"/>
  <c r="V25" i="2"/>
  <c r="V29" i="2" s="1"/>
  <c r="X25" i="2"/>
  <c r="X29" i="2" s="1"/>
  <c r="AD14" i="2" l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H54" i="2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U9" i="2"/>
  <c r="U5" i="2"/>
  <c r="V9" i="2"/>
  <c r="V5" i="2"/>
  <c r="V16" i="2" s="1"/>
  <c r="K11" i="2"/>
  <c r="K9" i="2"/>
  <c r="K7" i="2"/>
  <c r="K6" i="2"/>
  <c r="K4" i="2"/>
  <c r="K3" i="2"/>
  <c r="W9" i="2"/>
  <c r="W5" i="2"/>
  <c r="W16" i="2" s="1"/>
  <c r="X5" i="2"/>
  <c r="L54" i="2"/>
  <c r="L43" i="2"/>
  <c r="L48" i="2" s="1"/>
  <c r="J5" i="2"/>
  <c r="J16" i="2" s="1"/>
  <c r="L5" i="2"/>
  <c r="L16" i="2" s="1"/>
  <c r="L60" i="2" l="1"/>
  <c r="L65" i="2" s="1"/>
  <c r="L66" i="2" s="1"/>
  <c r="L76" i="2" s="1"/>
  <c r="H60" i="2"/>
  <c r="H63" i="2" s="1"/>
  <c r="AB9" i="2"/>
  <c r="AB10" i="2" s="1"/>
  <c r="AB12" i="2" s="1"/>
  <c r="AB11" i="2" s="1"/>
  <c r="H65" i="2"/>
  <c r="H66" i="2" s="1"/>
  <c r="H76" i="2" s="1"/>
  <c r="M21" i="2"/>
  <c r="I9" i="2"/>
  <c r="K5" i="2"/>
  <c r="K16" i="2" s="1"/>
  <c r="I5" i="2"/>
  <c r="I16" i="2" s="1"/>
  <c r="G9" i="2"/>
  <c r="H8" i="2"/>
  <c r="H16" i="2"/>
  <c r="X8" i="2"/>
  <c r="X17" i="2" s="1"/>
  <c r="X16" i="2"/>
  <c r="U8" i="2"/>
  <c r="U17" i="2" s="1"/>
  <c r="U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W8" i="2"/>
  <c r="W17" i="2" s="1"/>
  <c r="J8" i="2"/>
  <c r="J17" i="2" s="1"/>
  <c r="V8" i="2"/>
  <c r="V17" i="2" s="1"/>
  <c r="L63" i="2" l="1"/>
  <c r="AB18" i="2"/>
  <c r="AB13" i="2"/>
  <c r="I8" i="2"/>
  <c r="I10" i="2" s="1"/>
  <c r="K8" i="2"/>
  <c r="K17" i="2" s="1"/>
  <c r="F10" i="2"/>
  <c r="H10" i="2"/>
  <c r="H17" i="2"/>
  <c r="X10" i="2"/>
  <c r="U10" i="2"/>
  <c r="J10" i="2"/>
  <c r="G8" i="2"/>
  <c r="G17" i="2" s="1"/>
  <c r="V10" i="2"/>
  <c r="V19" i="2" s="1"/>
  <c r="L10" i="2"/>
  <c r="W10" i="2"/>
  <c r="K10" i="2" l="1"/>
  <c r="K19" i="2" s="1"/>
  <c r="I17" i="2"/>
  <c r="AC4" i="2"/>
  <c r="AC5" i="2" s="1"/>
  <c r="AC7" i="2" s="1"/>
  <c r="F12" i="2"/>
  <c r="F18" i="2" s="1"/>
  <c r="F19" i="2"/>
  <c r="X12" i="2"/>
  <c r="X19" i="2"/>
  <c r="U12" i="2"/>
  <c r="U19" i="2"/>
  <c r="H12" i="2"/>
  <c r="H13" i="2" s="1"/>
  <c r="H19" i="2"/>
  <c r="W12" i="2"/>
  <c r="W18" i="2" s="1"/>
  <c r="W19" i="2"/>
  <c r="I12" i="2"/>
  <c r="I18" i="2" s="1"/>
  <c r="I19" i="2"/>
  <c r="L12" i="2"/>
  <c r="L18" i="2" s="1"/>
  <c r="L19" i="2"/>
  <c r="J12" i="2"/>
  <c r="J18" i="2" s="1"/>
  <c r="J19" i="2"/>
  <c r="V12" i="2"/>
  <c r="V18" i="2" s="1"/>
  <c r="G10" i="2"/>
  <c r="G19" i="2" s="1"/>
  <c r="C8" i="1"/>
  <c r="C34" i="1" s="1"/>
  <c r="C11" i="1"/>
  <c r="K12" i="2" l="1"/>
  <c r="K18" i="2" s="1"/>
  <c r="AT18" i="2"/>
  <c r="AC16" i="2"/>
  <c r="X18" i="2"/>
  <c r="X80" i="2"/>
  <c r="F13" i="2"/>
  <c r="J13" i="2"/>
  <c r="H18" i="2"/>
  <c r="X13" i="2"/>
  <c r="AD4" i="2"/>
  <c r="AD5" i="2" s="1"/>
  <c r="AD7" i="2" s="1"/>
  <c r="U18" i="2"/>
  <c r="U13" i="2"/>
  <c r="U79" i="2" s="1"/>
  <c r="I13" i="2"/>
  <c r="W13" i="2"/>
  <c r="W79" i="2" s="1"/>
  <c r="L13" i="2"/>
  <c r="G12" i="2"/>
  <c r="G18" i="2" s="1"/>
  <c r="V13" i="2"/>
  <c r="V79" i="2" s="1"/>
  <c r="C12" i="1"/>
  <c r="C37" i="1" l="1"/>
  <c r="C35" i="1"/>
  <c r="K13" i="2"/>
  <c r="AD16" i="2"/>
  <c r="X79" i="2"/>
  <c r="AE4" i="2"/>
  <c r="AE5" i="2" s="1"/>
  <c r="AE7" i="2" s="1"/>
  <c r="G13" i="2"/>
  <c r="AE16" i="2" l="1"/>
  <c r="AF4" i="2"/>
  <c r="AF5" i="2" s="1"/>
  <c r="AF7" i="2" s="1"/>
  <c r="AF16" i="2" l="1"/>
  <c r="AG4" i="2"/>
  <c r="AG5" i="2" s="1"/>
  <c r="AG7" i="2" s="1"/>
  <c r="AC8" i="2"/>
  <c r="AC17" i="2" s="1"/>
  <c r="AG16" i="2" l="1"/>
  <c r="AC10" i="2"/>
  <c r="AC11" i="2" s="1"/>
  <c r="AH4" i="2"/>
  <c r="AH5" i="2" s="1"/>
  <c r="AH7" i="2" s="1"/>
  <c r="AD8" i="2"/>
  <c r="AD17" i="2" s="1"/>
  <c r="AH16" i="2" l="1"/>
  <c r="AC12" i="2"/>
  <c r="AC13" i="2" s="1"/>
  <c r="AI4" i="2"/>
  <c r="AI5" i="2" s="1"/>
  <c r="AI7" i="2" s="1"/>
  <c r="AE8" i="2"/>
  <c r="AE17" i="2" s="1"/>
  <c r="AD10" i="2"/>
  <c r="AD11" i="2" s="1"/>
  <c r="AI16" i="2" l="1"/>
  <c r="AC18" i="2"/>
  <c r="AJ4" i="2"/>
  <c r="AJ5" i="2" s="1"/>
  <c r="AJ7" i="2" s="1"/>
  <c r="AE10" i="2"/>
  <c r="AE11" i="2" s="1"/>
  <c r="AD12" i="2"/>
  <c r="AF8" i="2"/>
  <c r="AF17" i="2" s="1"/>
  <c r="AJ16" i="2" l="1"/>
  <c r="AK4" i="2"/>
  <c r="AK5" i="2" s="1"/>
  <c r="AK7" i="2" s="1"/>
  <c r="AD13" i="2"/>
  <c r="AD18" i="2"/>
  <c r="AF10" i="2"/>
  <c r="AF11" i="2" s="1"/>
  <c r="AG8" i="2"/>
  <c r="AG17" i="2" s="1"/>
  <c r="AE12" i="2"/>
  <c r="AK16" i="2" l="1"/>
  <c r="AL4" i="2"/>
  <c r="AL5" i="2" s="1"/>
  <c r="AL7" i="2" s="1"/>
  <c r="AE13" i="2"/>
  <c r="AE18" i="2"/>
  <c r="AG10" i="2"/>
  <c r="AG11" i="2" s="1"/>
  <c r="AH8" i="2"/>
  <c r="AH17" i="2" s="1"/>
  <c r="AF12" i="2"/>
  <c r="AL16" i="2" l="1"/>
  <c r="AM4" i="2"/>
  <c r="AM5" i="2" s="1"/>
  <c r="AM7" i="2" s="1"/>
  <c r="AF13" i="2"/>
  <c r="AF18" i="2"/>
  <c r="AI8" i="2"/>
  <c r="AI17" i="2" s="1"/>
  <c r="AH10" i="2"/>
  <c r="AH11" i="2" s="1"/>
  <c r="AG12" i="2"/>
  <c r="AM16" i="2" l="1"/>
  <c r="AN4" i="2"/>
  <c r="AN5" i="2" s="1"/>
  <c r="AN7" i="2" s="1"/>
  <c r="AI10" i="2"/>
  <c r="AI11" i="2" s="1"/>
  <c r="AG13" i="2"/>
  <c r="AG18" i="2"/>
  <c r="AH12" i="2"/>
  <c r="AJ8" i="2"/>
  <c r="AJ17" i="2" s="1"/>
  <c r="AN16" i="2" l="1"/>
  <c r="AO4" i="2"/>
  <c r="AO5" i="2" s="1"/>
  <c r="AO7" i="2" s="1"/>
  <c r="AJ10" i="2"/>
  <c r="AJ11" i="2" s="1"/>
  <c r="AK8" i="2"/>
  <c r="AK17" i="2" s="1"/>
  <c r="AH13" i="2"/>
  <c r="AH18" i="2"/>
  <c r="AI12" i="2"/>
  <c r="AO16" i="2" l="1"/>
  <c r="AP4" i="2"/>
  <c r="AP5" i="2"/>
  <c r="AP7" i="2" s="1"/>
  <c r="AK10" i="2"/>
  <c r="AK11" i="2" s="1"/>
  <c r="AI13" i="2"/>
  <c r="AI18" i="2"/>
  <c r="AL8" i="2"/>
  <c r="AL17" i="2" s="1"/>
  <c r="AJ12" i="2"/>
  <c r="AP16" i="2" l="1"/>
  <c r="AQ4" i="2"/>
  <c r="AQ5" i="2" s="1"/>
  <c r="AQ7" i="2" s="1"/>
  <c r="AL10" i="2"/>
  <c r="AL11" i="2" s="1"/>
  <c r="AM8" i="2"/>
  <c r="AM17" i="2" s="1"/>
  <c r="AJ13" i="2"/>
  <c r="AJ18" i="2"/>
  <c r="AK12" i="2"/>
  <c r="AQ16" i="2" l="1"/>
  <c r="AK13" i="2"/>
  <c r="AK18" i="2"/>
  <c r="AM10" i="2"/>
  <c r="AM11" i="2" s="1"/>
  <c r="AN8" i="2"/>
  <c r="AN17" i="2" s="1"/>
  <c r="AL12" i="2"/>
  <c r="AL13" i="2" l="1"/>
  <c r="AL18" i="2"/>
  <c r="AN10" i="2"/>
  <c r="AN11" i="2" s="1"/>
  <c r="AO8" i="2"/>
  <c r="AO17" i="2" s="1"/>
  <c r="AM12" i="2"/>
  <c r="AO10" i="2" l="1"/>
  <c r="AO11" i="2" s="1"/>
  <c r="AQ8" i="2"/>
  <c r="AQ17" i="2" s="1"/>
  <c r="AP8" i="2"/>
  <c r="AP17" i="2" s="1"/>
  <c r="AM13" i="2"/>
  <c r="AM18" i="2"/>
  <c r="AN12" i="2"/>
  <c r="AN13" i="2" l="1"/>
  <c r="AN18" i="2"/>
  <c r="AP10" i="2"/>
  <c r="AP11" i="2" s="1"/>
  <c r="AQ10" i="2"/>
  <c r="AQ11" i="2" s="1"/>
  <c r="AO12" i="2"/>
  <c r="AO13" i="2" l="1"/>
  <c r="AO18" i="2"/>
  <c r="AQ12" i="2"/>
  <c r="AP12" i="2"/>
  <c r="AP13" i="2" l="1"/>
  <c r="AP18" i="2"/>
  <c r="AQ13" i="2"/>
  <c r="AR12" i="2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AT17" i="2" s="1"/>
  <c r="AT19" i="2" s="1"/>
  <c r="AT20" i="2" s="1"/>
  <c r="AT23" i="2" s="1"/>
  <c r="AQ18" i="2"/>
  <c r="AT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4" authorId="0" shapeId="0" xr:uid="{FF6883B4-3C30-4584-980F-D498EF8038BA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BOWL now include Centre Staff Costs in COGS</t>
        </r>
      </text>
    </comment>
    <comment ref="Z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V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V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<sst xmlns="http://schemas.openxmlformats.org/spreadsheetml/2006/main" count="230" uniqueCount="159">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</sst>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3" fontId="0" fillId="4" borderId="8" xfId="0" applyNumberForma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  <xf numFmtId="0" fontId="11" fillId="5" borderId="0" xfId="0" applyFont="1" applyFill="1" applyAlignment="1">
      <alignment horizontal="right"/>
    </xf>
    <xf numFmtId="2" fontId="4" fillId="5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0</xdr:row>
      <xdr:rowOff>19050</xdr:rowOff>
    </xdr:from>
    <xdr:to>
      <xdr:col>27</xdr:col>
      <xdr:colOff>6350</xdr:colOff>
      <xdr:row>88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0</xdr:row>
      <xdr:rowOff>9525</xdr:rowOff>
    </xdr:from>
    <xdr:to>
      <xdr:col>16</xdr:col>
      <xdr:colOff>19050</xdr:colOff>
      <xdr:row>89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10306050" y="9525"/>
          <a:ext cx="0" cy="14478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hyperlink" Target="https://www.hollywoodbowlgroup.com/application/files/5717/2950/5157/Hollywood_Bowl_FY_Trading_draft_16-10-24_FINAL_FOR_RN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C29" sqref="C29:D29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52" t="s">
        <v>151</v>
      </c>
      <c r="I2" s="152"/>
      <c r="J2" s="152"/>
      <c r="K2" s="152"/>
      <c r="L2" s="152"/>
    </row>
    <row r="3" spans="2:21" x14ac:dyDescent="0.2">
      <c r="B3" s="3" t="s">
        <v>1</v>
      </c>
    </row>
    <row r="5" spans="2:21" x14ac:dyDescent="0.2">
      <c r="B5" s="158" t="s">
        <v>2</v>
      </c>
      <c r="C5" s="159"/>
      <c r="D5" s="160"/>
      <c r="H5" s="158" t="s">
        <v>101</v>
      </c>
      <c r="I5" s="159"/>
      <c r="J5" s="159"/>
      <c r="K5" s="159"/>
      <c r="L5" s="160"/>
      <c r="O5" s="158" t="s">
        <v>68</v>
      </c>
      <c r="P5" s="159"/>
      <c r="Q5" s="159"/>
      <c r="R5" s="159"/>
      <c r="S5" s="159"/>
      <c r="T5" s="159"/>
      <c r="U5" s="160"/>
    </row>
    <row r="6" spans="2:21" x14ac:dyDescent="0.2">
      <c r="B6" s="4" t="s">
        <v>3</v>
      </c>
      <c r="C6" s="26">
        <v>3.2050000000000001</v>
      </c>
      <c r="D6" s="39"/>
      <c r="H6" s="172" t="s">
        <v>103</v>
      </c>
      <c r="I6" s="173"/>
      <c r="J6" s="173"/>
      <c r="K6" s="173"/>
      <c r="L6" s="58" t="s">
        <v>102</v>
      </c>
      <c r="O6" s="17"/>
      <c r="P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Model'!P14</f>
        <v>172.98253099999999</v>
      </c>
      <c r="D7" s="39" t="str">
        <f>$C$28</f>
        <v>H124</v>
      </c>
      <c r="H7" s="174" t="s">
        <v>100</v>
      </c>
      <c r="I7" s="175"/>
      <c r="J7" s="175"/>
      <c r="K7" s="175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554.40901185500002</v>
      </c>
      <c r="D8" s="39"/>
      <c r="H8" s="176" t="s">
        <v>104</v>
      </c>
      <c r="I8" s="165"/>
      <c r="J8" s="165"/>
      <c r="K8" s="165"/>
      <c r="L8" s="59">
        <v>11</v>
      </c>
      <c r="O8" s="90">
        <v>45200</v>
      </c>
      <c r="P8" s="153" t="s">
        <v>153</v>
      </c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Model'!P68</f>
        <v>41.404000000000003</v>
      </c>
      <c r="D9" s="39" t="str">
        <f t="shared" ref="D9:D11" si="0">$C$28</f>
        <v>H124</v>
      </c>
      <c r="H9" s="176" t="s">
        <v>105</v>
      </c>
      <c r="I9" s="165"/>
      <c r="J9" s="165"/>
      <c r="K9" s="165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+'Financial Model'!P69</f>
        <v>0</v>
      </c>
      <c r="D10" s="39" t="str">
        <f t="shared" si="0"/>
        <v>H124</v>
      </c>
      <c r="H10" s="176" t="s">
        <v>106</v>
      </c>
      <c r="I10" s="165"/>
      <c r="J10" s="165"/>
      <c r="K10" s="165"/>
      <c r="L10" s="59">
        <v>7</v>
      </c>
      <c r="O10" s="90">
        <v>44866</v>
      </c>
      <c r="P10" s="91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41.404000000000003</v>
      </c>
      <c r="D11" s="39" t="str">
        <f t="shared" si="0"/>
        <v>H124</v>
      </c>
      <c r="H11" s="176" t="s">
        <v>107</v>
      </c>
      <c r="I11" s="165"/>
      <c r="J11" s="165"/>
      <c r="K11" s="165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513.00501185500002</v>
      </c>
      <c r="D12" s="40"/>
      <c r="H12" s="177" t="s">
        <v>108</v>
      </c>
      <c r="I12" s="170"/>
      <c r="J12" s="170"/>
      <c r="K12" s="17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58" t="s">
        <v>10</v>
      </c>
      <c r="C15" s="159"/>
      <c r="D15" s="160"/>
    </row>
    <row r="16" spans="2:21" x14ac:dyDescent="0.2">
      <c r="B16" s="16" t="s">
        <v>11</v>
      </c>
      <c r="C16" s="165" t="s">
        <v>94</v>
      </c>
      <c r="D16" s="166"/>
    </row>
    <row r="17" spans="2:16" x14ac:dyDescent="0.2">
      <c r="B17" s="16" t="s">
        <v>95</v>
      </c>
      <c r="C17" s="165" t="s">
        <v>96</v>
      </c>
      <c r="D17" s="166"/>
      <c r="H17" s="158" t="s">
        <v>125</v>
      </c>
      <c r="I17" s="159"/>
      <c r="J17" s="159"/>
      <c r="K17" s="159"/>
      <c r="L17" s="160"/>
    </row>
    <row r="18" spans="2:16" x14ac:dyDescent="0.2">
      <c r="B18" s="16"/>
      <c r="C18" s="165"/>
      <c r="D18" s="166"/>
      <c r="H18" s="81" t="s">
        <v>119</v>
      </c>
      <c r="I18" s="82"/>
      <c r="J18" s="82"/>
      <c r="K18" s="6"/>
      <c r="L18" s="7"/>
    </row>
    <row r="19" spans="2:16" x14ac:dyDescent="0.2">
      <c r="B19" s="50"/>
      <c r="C19" s="170"/>
      <c r="D19" s="171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58" t="s">
        <v>26</v>
      </c>
      <c r="C22" s="159"/>
      <c r="D22" s="160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65" t="s">
        <v>29</v>
      </c>
      <c r="D23" s="166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65">
        <v>2010</v>
      </c>
      <c r="D24" s="166"/>
      <c r="H24" s="81"/>
      <c r="I24" s="82"/>
      <c r="J24" s="82"/>
      <c r="K24" s="6"/>
      <c r="L24" s="7"/>
    </row>
    <row r="25" spans="2:16" x14ac:dyDescent="0.2">
      <c r="B25" s="17" t="s">
        <v>32</v>
      </c>
      <c r="C25" s="165">
        <f>+'Financial Model'!Z25</f>
        <v>71</v>
      </c>
      <c r="D25" s="166"/>
      <c r="H25" s="81"/>
      <c r="I25" s="82"/>
      <c r="J25" s="82"/>
      <c r="K25" s="6"/>
      <c r="L25" s="7"/>
      <c r="O25" s="151" t="s">
        <v>150</v>
      </c>
    </row>
    <row r="26" spans="2:16" x14ac:dyDescent="0.2">
      <c r="B26" s="17" t="s">
        <v>114</v>
      </c>
      <c r="C26" s="169">
        <f>+'Financial Model'!Z33</f>
        <v>2787</v>
      </c>
      <c r="D26" s="166"/>
      <c r="H26" s="83"/>
      <c r="I26" s="84"/>
      <c r="J26" s="84"/>
      <c r="K26" s="8"/>
      <c r="L26" s="9"/>
    </row>
    <row r="27" spans="2:16" x14ac:dyDescent="0.2">
      <c r="B27" s="17" t="s">
        <v>118</v>
      </c>
      <c r="C27" s="165">
        <v>2016</v>
      </c>
      <c r="D27" s="166"/>
    </row>
    <row r="28" spans="2:16" x14ac:dyDescent="0.2">
      <c r="B28" s="17" t="s">
        <v>139</v>
      </c>
      <c r="C28" s="89" t="s">
        <v>155</v>
      </c>
      <c r="D28" s="97">
        <v>45446</v>
      </c>
    </row>
    <row r="29" spans="2:16" x14ac:dyDescent="0.2">
      <c r="B29" s="18" t="s">
        <v>30</v>
      </c>
      <c r="C29" s="161" t="s">
        <v>31</v>
      </c>
      <c r="D29" s="162"/>
      <c r="H29" s="158" t="s">
        <v>126</v>
      </c>
      <c r="I29" s="159"/>
      <c r="J29" s="159"/>
      <c r="K29" s="159"/>
      <c r="L29" s="160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58" t="s">
        <v>133</v>
      </c>
      <c r="C32" s="159"/>
      <c r="D32" s="160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63">
        <f>C6/'Financial Model'!P66</f>
        <v>3.6746491234738916</v>
      </c>
      <c r="D33" s="164"/>
      <c r="H33" s="85"/>
      <c r="I33" s="82"/>
      <c r="J33" s="82"/>
      <c r="K33" s="6"/>
      <c r="L33" s="7"/>
    </row>
    <row r="34" spans="2:12" x14ac:dyDescent="0.2">
      <c r="B34" s="17" t="s">
        <v>135</v>
      </c>
      <c r="C34" s="163">
        <f>+C8/SUM('Financial Model'!O3:P3)</f>
        <v>2.4726448567905202</v>
      </c>
      <c r="D34" s="164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63">
        <f>+C12/SUM('Financial Model'!O3:P3)</f>
        <v>2.2879844608348163</v>
      </c>
      <c r="D35" s="164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63">
        <f>+C6/SUM('Financial Model'!O13:P13)</f>
        <v>16.170113612901787</v>
      </c>
      <c r="D36" s="164"/>
      <c r="H36" s="81"/>
      <c r="I36" s="82"/>
      <c r="J36" s="82"/>
      <c r="K36" s="6"/>
      <c r="L36" s="7"/>
    </row>
    <row r="37" spans="2:12" x14ac:dyDescent="0.2">
      <c r="B37" s="18" t="s">
        <v>142</v>
      </c>
      <c r="C37" s="167">
        <f>+C12/SUM('Financial Model'!O12:P12)</f>
        <v>15.009801973638021</v>
      </c>
      <c r="D37" s="168"/>
      <c r="H37" s="81"/>
      <c r="I37" s="82"/>
      <c r="J37" s="82"/>
      <c r="K37" s="6"/>
      <c r="L37" s="7"/>
    </row>
    <row r="38" spans="2:12" x14ac:dyDescent="0.2">
      <c r="H38" s="83"/>
      <c r="I38" s="84"/>
      <c r="J38" s="84"/>
      <c r="K38" s="8"/>
      <c r="L38" s="9"/>
    </row>
  </sheetData>
  <mergeCells count="30"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37:D37"/>
    <mergeCell ref="C26:D26"/>
    <mergeCell ref="C27:D27"/>
    <mergeCell ref="C25:D25"/>
    <mergeCell ref="B32:D32"/>
    <mergeCell ref="C33:D33"/>
    <mergeCell ref="C34:D34"/>
    <mergeCell ref="C36:D36"/>
    <mergeCell ref="H29:L29"/>
    <mergeCell ref="C29:D29"/>
    <mergeCell ref="C35:D3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8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W85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R1" sqref="R1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"/>
    <col min="17" max="17" width="9.140625" style="25"/>
    <col min="18" max="27" width="9.140625" style="1"/>
    <col min="28" max="28" width="9.140625" style="78"/>
    <col min="29" max="44" width="9.140625" style="1"/>
    <col min="45" max="45" width="15.7109375" style="1" bestFit="1" customWidth="1"/>
    <col min="46" max="16384" width="9.140625" style="1"/>
  </cols>
  <sheetData>
    <row r="1" spans="1:101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0" t="s">
        <v>155</v>
      </c>
      <c r="Q1" s="24" t="s">
        <v>158</v>
      </c>
      <c r="S1" s="10" t="s">
        <v>70</v>
      </c>
      <c r="T1" s="28" t="s">
        <v>69</v>
      </c>
      <c r="U1" s="10" t="s">
        <v>25</v>
      </c>
      <c r="V1" s="28" t="s">
        <v>20</v>
      </c>
      <c r="W1" s="10" t="s">
        <v>21</v>
      </c>
      <c r="X1" s="28" t="s">
        <v>22</v>
      </c>
      <c r="Y1" s="28" t="s">
        <v>23</v>
      </c>
      <c r="Z1" s="28" t="s">
        <v>24</v>
      </c>
      <c r="AA1" s="28" t="s">
        <v>72</v>
      </c>
      <c r="AB1" s="130" t="s">
        <v>72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156</v>
      </c>
    </row>
    <row r="2" spans="1:101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Z2</f>
        <v>45199</v>
      </c>
      <c r="P2" s="22">
        <v>45382</v>
      </c>
      <c r="Q2" s="156"/>
      <c r="S2" s="22">
        <v>42643</v>
      </c>
      <c r="T2" s="22">
        <v>43008</v>
      </c>
      <c r="U2" s="22">
        <v>43373</v>
      </c>
      <c r="V2" s="22">
        <v>43738</v>
      </c>
      <c r="W2" s="22">
        <v>44104</v>
      </c>
      <c r="X2" s="22">
        <v>44469</v>
      </c>
      <c r="Y2" s="22">
        <v>44834</v>
      </c>
      <c r="Z2" s="22">
        <v>45199</v>
      </c>
      <c r="AA2" s="22"/>
      <c r="AB2" s="13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  <c r="AP2" s="21" t="s">
        <v>67</v>
      </c>
      <c r="AQ2" s="21" t="s">
        <v>67</v>
      </c>
    </row>
    <row r="3" spans="1:101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V3-F3</f>
        <v>62.904000000000011</v>
      </c>
      <c r="H3" s="36">
        <v>69.23</v>
      </c>
      <c r="I3" s="30">
        <f>W3-H3</f>
        <v>10.242999999999995</v>
      </c>
      <c r="J3" s="12">
        <v>10.433</v>
      </c>
      <c r="K3" s="30">
        <f>X3-J3</f>
        <v>61.445</v>
      </c>
      <c r="L3" s="12">
        <v>100.173</v>
      </c>
      <c r="M3" s="30">
        <f>Y3-L3</f>
        <v>93.568000000000012</v>
      </c>
      <c r="N3" s="12">
        <v>110.05200000000001</v>
      </c>
      <c r="O3" s="30">
        <f>Z3-N3</f>
        <v>105.02999999999999</v>
      </c>
      <c r="P3" s="12">
        <v>119.187</v>
      </c>
      <c r="Q3" s="30">
        <f>+AA3-P3</f>
        <v>111.21300000000001</v>
      </c>
      <c r="S3" s="12">
        <v>104.803</v>
      </c>
      <c r="T3" s="12">
        <v>113.968</v>
      </c>
      <c r="U3" s="12">
        <v>120.548</v>
      </c>
      <c r="V3" s="12">
        <v>129.89400000000001</v>
      </c>
      <c r="W3" s="12">
        <v>79.472999999999999</v>
      </c>
      <c r="X3" s="12">
        <v>71.878</v>
      </c>
      <c r="Y3" s="12">
        <v>193.74100000000001</v>
      </c>
      <c r="Z3" s="12">
        <v>215.08199999999999</v>
      </c>
      <c r="AA3" s="12">
        <v>230.4</v>
      </c>
      <c r="AB3" s="132">
        <f>Z3*(1+AB21)</f>
        <v>238.74102000000002</v>
      </c>
      <c r="AC3" s="36">
        <f>AB3*(1+AC21)</f>
        <v>274.55217299999998</v>
      </c>
      <c r="AD3" s="36">
        <f t="shared" ref="AD3:AQ3" si="1">AC3*(1+AD21)</f>
        <v>329.46260759999996</v>
      </c>
      <c r="AE3" s="36">
        <f t="shared" si="1"/>
        <v>395.35512911999996</v>
      </c>
      <c r="AF3" s="36">
        <f t="shared" si="1"/>
        <v>454.65839848799993</v>
      </c>
      <c r="AG3" s="36">
        <f t="shared" si="1"/>
        <v>500.12423833679998</v>
      </c>
      <c r="AH3" s="36">
        <f t="shared" si="1"/>
        <v>550.13666217048001</v>
      </c>
      <c r="AI3" s="36">
        <f t="shared" si="1"/>
        <v>594.14759514411844</v>
      </c>
      <c r="AJ3" s="36">
        <f t="shared" si="1"/>
        <v>623.85497490132434</v>
      </c>
      <c r="AK3" s="36">
        <f t="shared" si="1"/>
        <v>655.04772364639064</v>
      </c>
      <c r="AL3" s="36">
        <f t="shared" si="1"/>
        <v>668.14867811931845</v>
      </c>
      <c r="AM3" s="36">
        <f t="shared" si="1"/>
        <v>681.51165168170485</v>
      </c>
      <c r="AN3" s="36">
        <f t="shared" si="1"/>
        <v>695.14188471533896</v>
      </c>
      <c r="AO3" s="36">
        <f t="shared" si="1"/>
        <v>709.04472240964571</v>
      </c>
      <c r="AP3" s="36">
        <f t="shared" si="1"/>
        <v>723.22561685783865</v>
      </c>
      <c r="AQ3" s="36">
        <f t="shared" si="1"/>
        <v>737.69012919499539</v>
      </c>
    </row>
    <row r="4" spans="1:101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W4-H4</f>
        <v>1.5669999999999984</v>
      </c>
      <c r="J4" s="14">
        <v>1.1919999999999999</v>
      </c>
      <c r="K4" s="31">
        <f>X4-J4</f>
        <v>9.0649999999999995</v>
      </c>
      <c r="L4" s="14">
        <v>13.641</v>
      </c>
      <c r="M4" s="31">
        <f>Y4-L4</f>
        <v>15.750999999999999</v>
      </c>
      <c r="N4" s="14">
        <v>18.972000000000001</v>
      </c>
      <c r="O4" s="31">
        <f>Z4-N4</f>
        <v>59.235999999999997</v>
      </c>
      <c r="P4" s="14">
        <f>19.825+22.269</f>
        <v>42.093999999999994</v>
      </c>
      <c r="S4" s="14">
        <v>15.375999999999999</v>
      </c>
      <c r="T4" s="14">
        <v>15.349</v>
      </c>
      <c r="U4" s="14">
        <v>16.748000000000001</v>
      </c>
      <c r="V4" s="14">
        <v>18.542000000000002</v>
      </c>
      <c r="W4" s="14">
        <v>11.542999999999999</v>
      </c>
      <c r="X4" s="14">
        <v>10.257</v>
      </c>
      <c r="Y4" s="14">
        <v>29.391999999999999</v>
      </c>
      <c r="Z4" s="14">
        <f>37.491+40.717</f>
        <v>78.207999999999998</v>
      </c>
      <c r="AA4" s="14"/>
      <c r="AB4" s="133">
        <f>AB3*0.16</f>
        <v>38.198563200000002</v>
      </c>
      <c r="AC4" s="27">
        <f t="shared" ref="AC4:AQ4" si="2">AC3*0.14</f>
        <v>38.437304220000001</v>
      </c>
      <c r="AD4" s="27">
        <f t="shared" si="2"/>
        <v>46.124765063999995</v>
      </c>
      <c r="AE4" s="27">
        <f t="shared" si="2"/>
        <v>55.349718076800002</v>
      </c>
      <c r="AF4" s="27">
        <f t="shared" si="2"/>
        <v>63.652175788319994</v>
      </c>
      <c r="AG4" s="27">
        <f t="shared" si="2"/>
        <v>70.01739336715201</v>
      </c>
      <c r="AH4" s="27">
        <f t="shared" si="2"/>
        <v>77.019132703867214</v>
      </c>
      <c r="AI4" s="27">
        <f t="shared" si="2"/>
        <v>83.180663320176592</v>
      </c>
      <c r="AJ4" s="27">
        <f t="shared" si="2"/>
        <v>87.339696486185417</v>
      </c>
      <c r="AK4" s="27">
        <f t="shared" si="2"/>
        <v>91.706681310494702</v>
      </c>
      <c r="AL4" s="27">
        <f t="shared" si="2"/>
        <v>93.540814936704592</v>
      </c>
      <c r="AM4" s="27">
        <f t="shared" si="2"/>
        <v>95.411631235438691</v>
      </c>
      <c r="AN4" s="27">
        <f t="shared" si="2"/>
        <v>97.319863860147464</v>
      </c>
      <c r="AO4" s="27">
        <f t="shared" si="2"/>
        <v>99.266261137350412</v>
      </c>
      <c r="AP4" s="27">
        <f t="shared" si="2"/>
        <v>101.25158636009742</v>
      </c>
      <c r="AQ4" s="27">
        <f t="shared" si="2"/>
        <v>103.27661808729937</v>
      </c>
    </row>
    <row r="5" spans="1:101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P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2">
        <f t="shared" si="3"/>
        <v>77.093000000000004</v>
      </c>
      <c r="Q5" s="61"/>
      <c r="S5" s="12">
        <f t="shared" ref="S5:Z5" si="4">S3-S4</f>
        <v>89.426999999999992</v>
      </c>
      <c r="T5" s="12">
        <f t="shared" si="4"/>
        <v>98.619</v>
      </c>
      <c r="U5" s="12">
        <f t="shared" si="4"/>
        <v>103.8</v>
      </c>
      <c r="V5" s="12">
        <f t="shared" si="4"/>
        <v>111.352</v>
      </c>
      <c r="W5" s="12">
        <f t="shared" si="4"/>
        <v>67.930000000000007</v>
      </c>
      <c r="X5" s="12">
        <f t="shared" si="4"/>
        <v>61.621000000000002</v>
      </c>
      <c r="Y5" s="12">
        <f t="shared" si="4"/>
        <v>164.34900000000002</v>
      </c>
      <c r="Z5" s="12">
        <f t="shared" si="4"/>
        <v>136.874</v>
      </c>
      <c r="AA5" s="12"/>
      <c r="AB5" s="132">
        <f>AB3-AB4</f>
        <v>200.54245680000002</v>
      </c>
      <c r="AC5" s="12">
        <f t="shared" ref="AC5:AQ5" si="5">AC3-AC4</f>
        <v>236.11486877999999</v>
      </c>
      <c r="AD5" s="12">
        <f t="shared" si="5"/>
        <v>283.33784253599998</v>
      </c>
      <c r="AE5" s="12">
        <f t="shared" si="5"/>
        <v>340.00541104319996</v>
      </c>
      <c r="AF5" s="12">
        <f t="shared" si="5"/>
        <v>391.00622269967994</v>
      </c>
      <c r="AG5" s="12">
        <f t="shared" si="5"/>
        <v>430.10684496964797</v>
      </c>
      <c r="AH5" s="12">
        <f t="shared" si="5"/>
        <v>473.11752946661278</v>
      </c>
      <c r="AI5" s="12">
        <f t="shared" si="5"/>
        <v>510.96693182394188</v>
      </c>
      <c r="AJ5" s="12">
        <f t="shared" si="5"/>
        <v>536.51527841513894</v>
      </c>
      <c r="AK5" s="12">
        <f t="shared" si="5"/>
        <v>563.34104233589596</v>
      </c>
      <c r="AL5" s="12">
        <f t="shared" si="5"/>
        <v>574.60786318261387</v>
      </c>
      <c r="AM5" s="12">
        <f t="shared" si="5"/>
        <v>586.10002044626617</v>
      </c>
      <c r="AN5" s="12">
        <f t="shared" si="5"/>
        <v>597.82202085519145</v>
      </c>
      <c r="AO5" s="12">
        <f t="shared" si="5"/>
        <v>609.77846127229532</v>
      </c>
      <c r="AP5" s="12">
        <f t="shared" si="5"/>
        <v>621.97403049774118</v>
      </c>
      <c r="AQ5" s="12">
        <f t="shared" si="5"/>
        <v>634.41351110769597</v>
      </c>
    </row>
    <row r="6" spans="1:101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W6-H6</f>
        <v>0</v>
      </c>
      <c r="J6" s="14">
        <v>1.5940000000000001</v>
      </c>
      <c r="K6" s="31">
        <f>X6-J6</f>
        <v>1.22</v>
      </c>
      <c r="L6" s="14">
        <v>0</v>
      </c>
      <c r="M6" s="31">
        <f>Y6-L6</f>
        <v>3.9E-2</v>
      </c>
      <c r="N6" s="14">
        <v>0</v>
      </c>
      <c r="O6" s="31">
        <f t="shared" ref="O6:O11" si="6">Z6-N6</f>
        <v>0</v>
      </c>
      <c r="P6" s="14">
        <v>0</v>
      </c>
      <c r="S6" s="14">
        <v>1.395</v>
      </c>
      <c r="T6" s="14">
        <v>0.08</v>
      </c>
      <c r="U6" s="14">
        <v>0</v>
      </c>
      <c r="V6" s="14">
        <v>0</v>
      </c>
      <c r="W6" s="14">
        <v>0</v>
      </c>
      <c r="X6" s="14">
        <v>2.8140000000000001</v>
      </c>
      <c r="Y6" s="14">
        <v>3.9E-2</v>
      </c>
      <c r="Z6" s="14">
        <v>0</v>
      </c>
      <c r="AA6" s="14"/>
      <c r="AB6" s="133">
        <f>-AVERAGE(V6:Z6)</f>
        <v>-0.5706</v>
      </c>
      <c r="AC6" s="14">
        <f t="shared" ref="AC6:AI6" si="7">AVERAGE(S6:AB6)</f>
        <v>0.41748888888888885</v>
      </c>
      <c r="AD6" s="14">
        <f t="shared" si="7"/>
        <v>0.30887654320987656</v>
      </c>
      <c r="AE6" s="14">
        <f t="shared" si="7"/>
        <v>0.33430727023319612</v>
      </c>
      <c r="AF6" s="14">
        <f t="shared" si="7"/>
        <v>0.37145252248132904</v>
      </c>
      <c r="AG6" s="14">
        <f t="shared" si="7"/>
        <v>0.41272502497925445</v>
      </c>
      <c r="AH6" s="14">
        <f t="shared" si="7"/>
        <v>0.45858336108806053</v>
      </c>
      <c r="AI6" s="14">
        <f t="shared" si="7"/>
        <v>0.19687040120895619</v>
      </c>
      <c r="AJ6" s="14">
        <f>AVERAGE(AB6:AI6)</f>
        <v>0.24121300151119521</v>
      </c>
      <c r="AK6" s="14">
        <f t="shared" ref="AK6:AQ6" si="8">AVERAGE(AC6:AJ6)</f>
        <v>0.34268962670009467</v>
      </c>
      <c r="AL6" s="14">
        <f t="shared" si="8"/>
        <v>0.33333971892649533</v>
      </c>
      <c r="AM6" s="14">
        <f t="shared" si="8"/>
        <v>0.33639761589107264</v>
      </c>
      <c r="AN6" s="14">
        <f t="shared" si="8"/>
        <v>0.33665890909830726</v>
      </c>
      <c r="AO6" s="14">
        <f t="shared" si="8"/>
        <v>0.33230970742542953</v>
      </c>
      <c r="AP6" s="14">
        <f t="shared" si="8"/>
        <v>0.32225779273120136</v>
      </c>
      <c r="AQ6" s="14">
        <f t="shared" si="8"/>
        <v>0.30521709668659402</v>
      </c>
    </row>
    <row r="7" spans="1:101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W7-H7</f>
        <v>17.991</v>
      </c>
      <c r="J7" s="14">
        <v>20.856999999999999</v>
      </c>
      <c r="K7" s="31">
        <f>X7-J7</f>
        <v>33.997999999999998</v>
      </c>
      <c r="L7" s="14">
        <v>48.915999999999997</v>
      </c>
      <c r="M7" s="31">
        <f>Y7-L7</f>
        <v>60.022999999999996</v>
      </c>
      <c r="N7" s="14">
        <v>58.933999999999997</v>
      </c>
      <c r="O7" s="31">
        <f t="shared" si="6"/>
        <v>23.855000000000004</v>
      </c>
      <c r="P7" s="14">
        <v>42.725000000000001</v>
      </c>
      <c r="S7" s="14">
        <v>76.444000000000003</v>
      </c>
      <c r="T7" s="14">
        <v>76.498000000000005</v>
      </c>
      <c r="U7" s="14">
        <v>78.908000000000001</v>
      </c>
      <c r="V7" s="14">
        <v>82.908000000000001</v>
      </c>
      <c r="W7" s="14">
        <v>58.069000000000003</v>
      </c>
      <c r="X7" s="14">
        <v>54.854999999999997</v>
      </c>
      <c r="Y7" s="14">
        <v>108.93899999999999</v>
      </c>
      <c r="Z7" s="14">
        <v>82.789000000000001</v>
      </c>
      <c r="AA7" s="14"/>
      <c r="AB7" s="133">
        <f>AB5*0.62</f>
        <v>124.33632321600001</v>
      </c>
      <c r="AC7" s="27">
        <f>AC5*0.63</f>
        <v>148.7523673314</v>
      </c>
      <c r="AD7" s="27">
        <f t="shared" ref="AD7:AQ7" si="9">AD5*0.63</f>
        <v>178.50284079767999</v>
      </c>
      <c r="AE7" s="27">
        <f t="shared" si="9"/>
        <v>214.20340895721597</v>
      </c>
      <c r="AF7" s="27">
        <f t="shared" si="9"/>
        <v>246.33392030079835</v>
      </c>
      <c r="AG7" s="27">
        <f t="shared" si="9"/>
        <v>270.9673123308782</v>
      </c>
      <c r="AH7" s="27">
        <f t="shared" si="9"/>
        <v>298.06404356396604</v>
      </c>
      <c r="AI7" s="27">
        <f t="shared" si="9"/>
        <v>321.90916704908341</v>
      </c>
      <c r="AJ7" s="27">
        <f t="shared" si="9"/>
        <v>338.00462540153751</v>
      </c>
      <c r="AK7" s="27">
        <f t="shared" si="9"/>
        <v>354.90485667161448</v>
      </c>
      <c r="AL7" s="27">
        <f t="shared" si="9"/>
        <v>362.00295380504673</v>
      </c>
      <c r="AM7" s="27">
        <f t="shared" si="9"/>
        <v>369.24301288114771</v>
      </c>
      <c r="AN7" s="27">
        <f t="shared" si="9"/>
        <v>376.62787313877061</v>
      </c>
      <c r="AO7" s="27">
        <f t="shared" si="9"/>
        <v>384.16043060154607</v>
      </c>
      <c r="AP7" s="27">
        <f t="shared" si="9"/>
        <v>391.84363921357692</v>
      </c>
      <c r="AQ7" s="27">
        <f t="shared" si="9"/>
        <v>399.68051199784844</v>
      </c>
    </row>
    <row r="8" spans="1:101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P8" si="10">H5+H6-H7</f>
        <v>19.176000000000002</v>
      </c>
      <c r="I8" s="30">
        <f t="shared" si="10"/>
        <v>-9.3150000000000031</v>
      </c>
      <c r="J8" s="12">
        <f t="shared" si="10"/>
        <v>-10.022</v>
      </c>
      <c r="K8" s="30">
        <f t="shared" si="10"/>
        <v>19.602000000000004</v>
      </c>
      <c r="L8" s="12">
        <f t="shared" si="10"/>
        <v>37.616</v>
      </c>
      <c r="M8" s="30">
        <f t="shared" si="10"/>
        <v>17.833000000000013</v>
      </c>
      <c r="N8" s="12">
        <f t="shared" si="10"/>
        <v>32.146000000000015</v>
      </c>
      <c r="O8" s="30">
        <f t="shared" si="10"/>
        <v>21.938999999999986</v>
      </c>
      <c r="P8" s="12">
        <f t="shared" si="10"/>
        <v>34.368000000000002</v>
      </c>
      <c r="Q8" s="61"/>
      <c r="S8" s="12">
        <f t="shared" ref="S8:AB8" si="11">S5+S6-S7</f>
        <v>14.377999999999986</v>
      </c>
      <c r="T8" s="12">
        <f t="shared" si="11"/>
        <v>22.200999999999993</v>
      </c>
      <c r="U8" s="12">
        <f t="shared" si="11"/>
        <v>24.891999999999996</v>
      </c>
      <c r="V8" s="12">
        <f t="shared" si="11"/>
        <v>28.444000000000003</v>
      </c>
      <c r="W8" s="12">
        <f t="shared" si="11"/>
        <v>9.8610000000000042</v>
      </c>
      <c r="X8" s="12">
        <f t="shared" si="11"/>
        <v>9.5800000000000054</v>
      </c>
      <c r="Y8" s="12">
        <f t="shared" si="11"/>
        <v>55.449000000000012</v>
      </c>
      <c r="Z8" s="12">
        <f t="shared" si="11"/>
        <v>54.084999999999994</v>
      </c>
      <c r="AA8" s="12"/>
      <c r="AB8" s="41">
        <f t="shared" si="11"/>
        <v>75.635533584000001</v>
      </c>
      <c r="AC8" s="12">
        <f t="shared" ref="AC8:AQ8" si="12">AC5+AC6-AC7</f>
        <v>87.779990337488897</v>
      </c>
      <c r="AD8" s="12">
        <f t="shared" si="12"/>
        <v>105.14387828152985</v>
      </c>
      <c r="AE8" s="12">
        <f t="shared" si="12"/>
        <v>126.13630935621717</v>
      </c>
      <c r="AF8" s="12">
        <f t="shared" si="12"/>
        <v>145.0437549213629</v>
      </c>
      <c r="AG8" s="12">
        <f t="shared" si="12"/>
        <v>159.552257663749</v>
      </c>
      <c r="AH8" s="12">
        <f t="shared" si="12"/>
        <v>175.51206926373482</v>
      </c>
      <c r="AI8" s="12">
        <f t="shared" si="12"/>
        <v>189.25463517606744</v>
      </c>
      <c r="AJ8" s="12">
        <f t="shared" si="12"/>
        <v>198.75186601511257</v>
      </c>
      <c r="AK8" s="12">
        <f t="shared" si="12"/>
        <v>208.7788752909816</v>
      </c>
      <c r="AL8" s="12">
        <f t="shared" si="12"/>
        <v>212.93824909649362</v>
      </c>
      <c r="AM8" s="12">
        <f t="shared" si="12"/>
        <v>217.19340518100955</v>
      </c>
      <c r="AN8" s="12">
        <f t="shared" si="12"/>
        <v>221.53080662551918</v>
      </c>
      <c r="AO8" s="12">
        <f t="shared" si="12"/>
        <v>225.9503403781747</v>
      </c>
      <c r="AP8" s="12">
        <f t="shared" si="12"/>
        <v>230.45264907689545</v>
      </c>
      <c r="AQ8" s="12">
        <f t="shared" si="12"/>
        <v>235.03821620653417</v>
      </c>
    </row>
    <row r="9" spans="1:101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W9-H9</f>
        <v>3.9570000000000016</v>
      </c>
      <c r="J9" s="14">
        <v>4.4669999999999996</v>
      </c>
      <c r="K9" s="31">
        <f>X9-J9</f>
        <v>4.6510000000000007</v>
      </c>
      <c r="L9" s="14">
        <v>4.1790000000000003</v>
      </c>
      <c r="M9" s="31">
        <f>Y9-L9</f>
        <v>4.6049999999999986</v>
      </c>
      <c r="N9" s="14">
        <v>4.4569999999999999</v>
      </c>
      <c r="O9" s="31">
        <f t="shared" si="6"/>
        <v>4.5480000000000009</v>
      </c>
      <c r="P9" s="14">
        <f>-1.029+5.869</f>
        <v>4.84</v>
      </c>
      <c r="S9" s="14">
        <f>-0.022+11.905-0.079</f>
        <v>11.803999999999998</v>
      </c>
      <c r="T9" s="14">
        <f>1.158-0.012+0.055</f>
        <v>1.2009999999999998</v>
      </c>
      <c r="U9" s="14">
        <f>0.976-0.018</f>
        <v>0.95799999999999996</v>
      </c>
      <c r="V9" s="14">
        <f>1.023-0.167</f>
        <v>0.85599999999999987</v>
      </c>
      <c r="W9" s="14">
        <f>8.743-0.078</f>
        <v>8.6650000000000009</v>
      </c>
      <c r="X9" s="14">
        <v>9.1180000000000003</v>
      </c>
      <c r="Y9" s="14">
        <f>-0.012+8.796</f>
        <v>8.7839999999999989</v>
      </c>
      <c r="Z9" s="14">
        <f>10.445-1.44</f>
        <v>9.0050000000000008</v>
      </c>
      <c r="AA9" s="14"/>
      <c r="AB9" s="133">
        <f>-AVERAGE(W9:Z9)</f>
        <v>-8.8930000000000007</v>
      </c>
      <c r="AC9" s="1">
        <v>2.9</v>
      </c>
      <c r="AD9" s="1">
        <v>3.9</v>
      </c>
      <c r="AE9" s="1">
        <v>4.9000000000000004</v>
      </c>
      <c r="AF9" s="1">
        <v>5.9</v>
      </c>
      <c r="AG9" s="1">
        <v>6.9</v>
      </c>
      <c r="AH9" s="1">
        <v>7.9</v>
      </c>
      <c r="AI9" s="1">
        <v>8.9</v>
      </c>
      <c r="AJ9" s="1">
        <v>9.9</v>
      </c>
      <c r="AK9" s="1">
        <v>10.9</v>
      </c>
      <c r="AL9" s="1">
        <v>11.9</v>
      </c>
      <c r="AM9" s="1">
        <v>12.9</v>
      </c>
      <c r="AN9" s="1">
        <v>13.9</v>
      </c>
      <c r="AO9" s="1">
        <v>14.9</v>
      </c>
      <c r="AP9" s="1">
        <v>15.9</v>
      </c>
      <c r="AQ9" s="1">
        <v>16.899999999999999</v>
      </c>
    </row>
    <row r="10" spans="1:101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P10" si="13">H8-H9</f>
        <v>14.468000000000004</v>
      </c>
      <c r="I10" s="31">
        <f t="shared" si="13"/>
        <v>-13.272000000000006</v>
      </c>
      <c r="J10" s="14">
        <f t="shared" si="13"/>
        <v>-14.489000000000001</v>
      </c>
      <c r="K10" s="31">
        <f t="shared" si="13"/>
        <v>14.951000000000004</v>
      </c>
      <c r="L10" s="14">
        <f t="shared" si="13"/>
        <v>33.436999999999998</v>
      </c>
      <c r="M10" s="31">
        <f t="shared" si="13"/>
        <v>13.228000000000014</v>
      </c>
      <c r="N10" s="14">
        <f t="shared" si="13"/>
        <v>27.689000000000014</v>
      </c>
      <c r="O10" s="31">
        <f t="shared" si="13"/>
        <v>17.390999999999984</v>
      </c>
      <c r="P10" s="14">
        <f t="shared" si="13"/>
        <v>29.528000000000002</v>
      </c>
      <c r="S10" s="14">
        <f t="shared" ref="S10:AB10" si="14">S8-S9</f>
        <v>2.5739999999999874</v>
      </c>
      <c r="T10" s="14">
        <f t="shared" si="14"/>
        <v>20.999999999999993</v>
      </c>
      <c r="U10" s="14">
        <f t="shared" si="14"/>
        <v>23.933999999999997</v>
      </c>
      <c r="V10" s="14">
        <f t="shared" si="14"/>
        <v>27.588000000000001</v>
      </c>
      <c r="W10" s="14">
        <f t="shared" si="14"/>
        <v>1.1960000000000033</v>
      </c>
      <c r="X10" s="14">
        <f t="shared" si="14"/>
        <v>0.46200000000000507</v>
      </c>
      <c r="Y10" s="14">
        <f t="shared" si="14"/>
        <v>46.665000000000013</v>
      </c>
      <c r="Z10" s="14">
        <f t="shared" si="14"/>
        <v>45.079999999999991</v>
      </c>
      <c r="AA10" s="14"/>
      <c r="AB10" s="44">
        <f t="shared" si="14"/>
        <v>84.528533584000002</v>
      </c>
      <c r="AC10" s="14">
        <f t="shared" ref="AC10:AQ10" si="15">AC8-AC9</f>
        <v>84.879990337488891</v>
      </c>
      <c r="AD10" s="14">
        <f t="shared" si="15"/>
        <v>101.24387828152985</v>
      </c>
      <c r="AE10" s="14">
        <f t="shared" si="15"/>
        <v>121.23630935621716</v>
      </c>
      <c r="AF10" s="14">
        <f t="shared" si="15"/>
        <v>139.1437549213629</v>
      </c>
      <c r="AG10" s="14">
        <f t="shared" si="15"/>
        <v>152.652257663749</v>
      </c>
      <c r="AH10" s="14">
        <f t="shared" si="15"/>
        <v>167.61206926373481</v>
      </c>
      <c r="AI10" s="14">
        <f t="shared" si="15"/>
        <v>180.35463517606743</v>
      </c>
      <c r="AJ10" s="14">
        <f t="shared" si="15"/>
        <v>188.85186601511256</v>
      </c>
      <c r="AK10" s="14">
        <f t="shared" si="15"/>
        <v>197.8788752909816</v>
      </c>
      <c r="AL10" s="14">
        <f t="shared" si="15"/>
        <v>201.03824909649362</v>
      </c>
      <c r="AM10" s="14">
        <f t="shared" si="15"/>
        <v>204.29340518100955</v>
      </c>
      <c r="AN10" s="14">
        <f t="shared" si="15"/>
        <v>207.63080662551917</v>
      </c>
      <c r="AO10" s="14">
        <f t="shared" si="15"/>
        <v>211.0503403781747</v>
      </c>
      <c r="AP10" s="14">
        <f t="shared" si="15"/>
        <v>214.55264907689545</v>
      </c>
      <c r="AQ10" s="14">
        <f t="shared" si="15"/>
        <v>218.13821620653417</v>
      </c>
    </row>
    <row r="11" spans="1:101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W11-H11</f>
        <v>-3.137</v>
      </c>
      <c r="J11" s="14">
        <v>-2.8559999999999999</v>
      </c>
      <c r="K11" s="31">
        <f>X11-J11</f>
        <v>1.5899999999999999</v>
      </c>
      <c r="L11" s="14">
        <v>6.4119999999999999</v>
      </c>
      <c r="M11" s="31">
        <f>Y11-L11</f>
        <v>2.8020000000000005</v>
      </c>
      <c r="N11" s="14">
        <v>5.7690000000000001</v>
      </c>
      <c r="O11" s="31">
        <f t="shared" si="6"/>
        <v>5.16</v>
      </c>
      <c r="P11" s="14">
        <v>7.5810000000000004</v>
      </c>
      <c r="S11" s="14">
        <v>1.387</v>
      </c>
      <c r="T11" s="14">
        <v>2.8479999999999999</v>
      </c>
      <c r="U11" s="14">
        <v>5.15</v>
      </c>
      <c r="V11" s="14">
        <v>5.3029999999999999</v>
      </c>
      <c r="W11" s="14">
        <v>-0.189</v>
      </c>
      <c r="X11" s="14">
        <v>-1.266</v>
      </c>
      <c r="Y11" s="14">
        <v>9.2140000000000004</v>
      </c>
      <c r="Z11" s="14">
        <v>10.929</v>
      </c>
      <c r="AA11" s="14"/>
      <c r="AB11" s="133">
        <f>AB10-AB12</f>
        <v>16.905706716799997</v>
      </c>
      <c r="AC11" s="27">
        <f>AC10*(1-(1-AC19))</f>
        <v>16.975998067497773</v>
      </c>
      <c r="AD11" s="27">
        <f t="shared" ref="AD11:AQ11" si="16">AD10*(1-(1-AD19))</f>
        <v>20.248775656305966</v>
      </c>
      <c r="AE11" s="27">
        <f t="shared" si="16"/>
        <v>24.247261871243428</v>
      </c>
      <c r="AF11" s="27">
        <f t="shared" si="16"/>
        <v>27.828750984272574</v>
      </c>
      <c r="AG11" s="27">
        <f t="shared" si="16"/>
        <v>30.530451532749794</v>
      </c>
      <c r="AH11" s="27">
        <f t="shared" si="16"/>
        <v>33.522413852746958</v>
      </c>
      <c r="AI11" s="27">
        <f t="shared" si="16"/>
        <v>36.070927035213479</v>
      </c>
      <c r="AJ11" s="27">
        <f t="shared" si="16"/>
        <v>37.770373203022501</v>
      </c>
      <c r="AK11" s="27">
        <f t="shared" si="16"/>
        <v>39.575775058196314</v>
      </c>
      <c r="AL11" s="27">
        <f t="shared" si="16"/>
        <v>40.207649819298716</v>
      </c>
      <c r="AM11" s="27">
        <f t="shared" si="16"/>
        <v>40.858681036201901</v>
      </c>
      <c r="AN11" s="27">
        <f t="shared" si="16"/>
        <v>41.526161325103828</v>
      </c>
      <c r="AO11" s="27">
        <f t="shared" si="16"/>
        <v>42.210068075634929</v>
      </c>
      <c r="AP11" s="27">
        <f t="shared" si="16"/>
        <v>42.910529815379078</v>
      </c>
      <c r="AQ11" s="27">
        <f t="shared" si="16"/>
        <v>43.627643241306821</v>
      </c>
    </row>
    <row r="12" spans="1:101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P12" si="17">H10-H11</f>
        <v>11.520000000000003</v>
      </c>
      <c r="I12" s="30">
        <f t="shared" si="17"/>
        <v>-10.135000000000005</v>
      </c>
      <c r="J12" s="12">
        <f t="shared" si="17"/>
        <v>-11.633000000000001</v>
      </c>
      <c r="K12" s="30">
        <f t="shared" si="17"/>
        <v>13.361000000000004</v>
      </c>
      <c r="L12" s="12">
        <f t="shared" si="17"/>
        <v>27.024999999999999</v>
      </c>
      <c r="M12" s="30">
        <f t="shared" si="17"/>
        <v>10.426000000000013</v>
      </c>
      <c r="N12" s="12">
        <f t="shared" si="17"/>
        <v>21.920000000000016</v>
      </c>
      <c r="O12" s="30">
        <f t="shared" si="17"/>
        <v>12.230999999999984</v>
      </c>
      <c r="P12" s="12">
        <f t="shared" si="17"/>
        <v>21.947000000000003</v>
      </c>
      <c r="Q12" s="157"/>
      <c r="R12" s="87"/>
      <c r="S12" s="12">
        <f t="shared" ref="S12:Z12" si="18">S10-S11</f>
        <v>1.1869999999999874</v>
      </c>
      <c r="T12" s="12">
        <f t="shared" si="18"/>
        <v>18.151999999999994</v>
      </c>
      <c r="U12" s="12">
        <f t="shared" si="18"/>
        <v>18.783999999999999</v>
      </c>
      <c r="V12" s="12">
        <f t="shared" si="18"/>
        <v>22.285</v>
      </c>
      <c r="W12" s="12">
        <f t="shared" si="18"/>
        <v>1.3850000000000033</v>
      </c>
      <c r="X12" s="12">
        <f t="shared" si="18"/>
        <v>1.7280000000000051</v>
      </c>
      <c r="Y12" s="12">
        <f t="shared" si="18"/>
        <v>37.451000000000015</v>
      </c>
      <c r="Z12" s="12">
        <f t="shared" si="18"/>
        <v>34.150999999999989</v>
      </c>
      <c r="AA12" s="12"/>
      <c r="AB12" s="132">
        <f>AB10*(1-AB19)</f>
        <v>67.622826867200004</v>
      </c>
      <c r="AC12" s="12">
        <f t="shared" ref="AC12:AQ12" si="19">AC10-AC11</f>
        <v>67.903992269991122</v>
      </c>
      <c r="AD12" s="12">
        <f t="shared" si="19"/>
        <v>80.995102625223879</v>
      </c>
      <c r="AE12" s="12">
        <f t="shared" si="19"/>
        <v>96.989047484973739</v>
      </c>
      <c r="AF12" s="12">
        <f t="shared" si="19"/>
        <v>111.31500393709032</v>
      </c>
      <c r="AG12" s="12">
        <f t="shared" si="19"/>
        <v>122.1218061309992</v>
      </c>
      <c r="AH12" s="12">
        <f t="shared" si="19"/>
        <v>134.08965541098786</v>
      </c>
      <c r="AI12" s="12">
        <f t="shared" si="19"/>
        <v>144.28370814085395</v>
      </c>
      <c r="AJ12" s="12">
        <f t="shared" si="19"/>
        <v>151.08149281209006</v>
      </c>
      <c r="AK12" s="12">
        <f t="shared" si="19"/>
        <v>158.30310023278528</v>
      </c>
      <c r="AL12" s="12">
        <f t="shared" si="19"/>
        <v>160.83059927719489</v>
      </c>
      <c r="AM12" s="12">
        <f t="shared" si="19"/>
        <v>163.43472414480766</v>
      </c>
      <c r="AN12" s="12">
        <f t="shared" si="19"/>
        <v>166.10464530041534</v>
      </c>
      <c r="AO12" s="12">
        <f t="shared" si="19"/>
        <v>168.84027230253977</v>
      </c>
      <c r="AP12" s="12">
        <f t="shared" si="19"/>
        <v>171.64211926151637</v>
      </c>
      <c r="AQ12" s="12">
        <f t="shared" si="19"/>
        <v>174.51057296522734</v>
      </c>
      <c r="AR12" s="12">
        <f t="shared" ref="AR12:BW12" si="20">AQ12*(1+$AT$15)</f>
        <v>171.02036150592278</v>
      </c>
      <c r="AS12" s="12">
        <f t="shared" si="20"/>
        <v>167.59995427580432</v>
      </c>
      <c r="AT12" s="12">
        <f t="shared" si="20"/>
        <v>164.24795519028822</v>
      </c>
      <c r="AU12" s="12">
        <f t="shared" si="20"/>
        <v>160.96299608648246</v>
      </c>
      <c r="AV12" s="12">
        <f t="shared" si="20"/>
        <v>157.74373616475282</v>
      </c>
      <c r="AW12" s="12">
        <f t="shared" si="20"/>
        <v>154.58886144145777</v>
      </c>
      <c r="AX12" s="12">
        <f t="shared" si="20"/>
        <v>151.49708421262861</v>
      </c>
      <c r="AY12" s="12">
        <f t="shared" si="20"/>
        <v>148.46714252837603</v>
      </c>
      <c r="AZ12" s="12">
        <f t="shared" si="20"/>
        <v>145.4977996778085</v>
      </c>
      <c r="BA12" s="12">
        <f t="shared" si="20"/>
        <v>142.58784368425233</v>
      </c>
      <c r="BB12" s="12">
        <f t="shared" si="20"/>
        <v>139.73608681056729</v>
      </c>
      <c r="BC12" s="12">
        <f t="shared" si="20"/>
        <v>136.94136507435593</v>
      </c>
      <c r="BD12" s="12">
        <f t="shared" si="20"/>
        <v>134.20253777286879</v>
      </c>
      <c r="BE12" s="12">
        <f t="shared" si="20"/>
        <v>131.51848701741142</v>
      </c>
      <c r="BF12" s="12">
        <f t="shared" si="20"/>
        <v>128.88811727706317</v>
      </c>
      <c r="BG12" s="12">
        <f t="shared" si="20"/>
        <v>126.31035493152191</v>
      </c>
      <c r="BH12" s="12">
        <f t="shared" si="20"/>
        <v>123.78414783289148</v>
      </c>
      <c r="BI12" s="12">
        <f t="shared" si="20"/>
        <v>121.30846487623364</v>
      </c>
      <c r="BJ12" s="12">
        <f t="shared" si="20"/>
        <v>118.88229557870896</v>
      </c>
      <c r="BK12" s="12">
        <f t="shared" si="20"/>
        <v>116.50464966713479</v>
      </c>
      <c r="BL12" s="12">
        <f t="shared" si="20"/>
        <v>114.17455667379208</v>
      </c>
      <c r="BM12" s="12">
        <f t="shared" si="20"/>
        <v>111.89106554031623</v>
      </c>
      <c r="BN12" s="12">
        <f t="shared" si="20"/>
        <v>109.65324422950991</v>
      </c>
      <c r="BO12" s="12">
        <f t="shared" si="20"/>
        <v>107.46017934491971</v>
      </c>
      <c r="BP12" s="12">
        <f t="shared" si="20"/>
        <v>105.31097575802131</v>
      </c>
      <c r="BQ12" s="12">
        <f t="shared" si="20"/>
        <v>103.20475624286088</v>
      </c>
      <c r="BR12" s="12">
        <f t="shared" si="20"/>
        <v>101.14066111800366</v>
      </c>
      <c r="BS12" s="12">
        <f t="shared" si="20"/>
        <v>99.117847895643592</v>
      </c>
      <c r="BT12" s="12">
        <f t="shared" si="20"/>
        <v>97.135490937730722</v>
      </c>
      <c r="BU12" s="12">
        <f t="shared" si="20"/>
        <v>95.1927811189761</v>
      </c>
      <c r="BV12" s="12">
        <f t="shared" si="20"/>
        <v>93.288925496596576</v>
      </c>
      <c r="BW12" s="12">
        <f t="shared" si="20"/>
        <v>91.423146986664648</v>
      </c>
      <c r="BX12" s="12">
        <f t="shared" ref="BX12:CW12" si="21">BW12*(1+$AT$15)</f>
        <v>89.594684046931349</v>
      </c>
      <c r="BY12" s="12">
        <f t="shared" si="21"/>
        <v>87.80279036599272</v>
      </c>
      <c r="BZ12" s="12">
        <f t="shared" si="21"/>
        <v>86.046734558672867</v>
      </c>
      <c r="CA12" s="12">
        <f t="shared" si="21"/>
        <v>84.325799867499413</v>
      </c>
      <c r="CB12" s="12">
        <f t="shared" si="21"/>
        <v>82.639283870149427</v>
      </c>
      <c r="CC12" s="12">
        <f t="shared" si="21"/>
        <v>80.986498192746438</v>
      </c>
      <c r="CD12" s="12">
        <f t="shared" si="21"/>
        <v>79.366768228891502</v>
      </c>
      <c r="CE12" s="12">
        <f t="shared" si="21"/>
        <v>77.779432864313677</v>
      </c>
      <c r="CF12" s="12">
        <f t="shared" si="21"/>
        <v>76.223844207027398</v>
      </c>
      <c r="CG12" s="12">
        <f t="shared" si="21"/>
        <v>74.699367322886843</v>
      </c>
      <c r="CH12" s="12">
        <f t="shared" si="21"/>
        <v>73.2053799764291</v>
      </c>
      <c r="CI12" s="12">
        <f t="shared" si="21"/>
        <v>71.741272376900511</v>
      </c>
      <c r="CJ12" s="12">
        <f t="shared" si="21"/>
        <v>70.306446929362494</v>
      </c>
      <c r="CK12" s="12">
        <f t="shared" si="21"/>
        <v>68.90031799077525</v>
      </c>
      <c r="CL12" s="12">
        <f t="shared" si="21"/>
        <v>67.522311630959749</v>
      </c>
      <c r="CM12" s="12">
        <f t="shared" si="21"/>
        <v>66.171865398340557</v>
      </c>
      <c r="CN12" s="12">
        <f t="shared" si="21"/>
        <v>64.848428090373744</v>
      </c>
      <c r="CO12" s="12">
        <f t="shared" si="21"/>
        <v>63.551459528566269</v>
      </c>
      <c r="CP12" s="12">
        <f t="shared" si="21"/>
        <v>62.280430337994943</v>
      </c>
      <c r="CQ12" s="12">
        <f t="shared" si="21"/>
        <v>61.034821731235041</v>
      </c>
      <c r="CR12" s="12">
        <f t="shared" si="21"/>
        <v>59.814125296610342</v>
      </c>
      <c r="CS12" s="12">
        <f t="shared" si="21"/>
        <v>58.617842790678132</v>
      </c>
      <c r="CT12" s="12">
        <f t="shared" si="21"/>
        <v>57.445485934864571</v>
      </c>
      <c r="CU12" s="12">
        <f t="shared" si="21"/>
        <v>56.296576216167281</v>
      </c>
      <c r="CV12" s="12">
        <f t="shared" si="21"/>
        <v>55.170644691843933</v>
      </c>
      <c r="CW12" s="12">
        <f t="shared" si="21"/>
        <v>54.06723179800705</v>
      </c>
    </row>
    <row r="13" spans="1:101" x14ac:dyDescent="0.2">
      <c r="B13" s="1" t="s">
        <v>42</v>
      </c>
      <c r="E13" s="33"/>
      <c r="F13" s="26">
        <f t="shared" ref="F13:M13" si="22">F12/F14</f>
        <v>8.8853291768992385E-2</v>
      </c>
      <c r="G13" s="33">
        <f t="shared" si="22"/>
        <v>5.9400000000000057E-2</v>
      </c>
      <c r="H13" s="26">
        <f t="shared" si="22"/>
        <v>7.6442866571663867E-2</v>
      </c>
      <c r="I13" s="33">
        <f t="shared" si="22"/>
        <v>-6.6068394484364051E-2</v>
      </c>
      <c r="J13" s="26">
        <f t="shared" si="22"/>
        <v>-7.3358228129837819E-2</v>
      </c>
      <c r="K13" s="33">
        <f t="shared" si="22"/>
        <v>8.116869753753031E-2</v>
      </c>
      <c r="L13" s="26">
        <f t="shared" si="22"/>
        <v>0.15819934224664817</v>
      </c>
      <c r="M13" s="33">
        <f t="shared" si="22"/>
        <v>6.0988847885565384E-2</v>
      </c>
      <c r="N13" s="26">
        <f>N12/N14</f>
        <v>0.12802065599267592</v>
      </c>
      <c r="O13" s="33">
        <f>O12/O14</f>
        <v>7.1331079704337108E-2</v>
      </c>
      <c r="P13" s="26">
        <f>P12/P14</f>
        <v>0.12687408302518133</v>
      </c>
      <c r="Q13" s="33"/>
      <c r="R13" s="26"/>
      <c r="S13" s="26">
        <f t="shared" ref="S13:AQ13" si="23">S12/S14</f>
        <v>1.1214705682000902E-2</v>
      </c>
      <c r="T13" s="26">
        <f t="shared" si="23"/>
        <v>0.12101333333333329</v>
      </c>
      <c r="U13" s="26">
        <f t="shared" si="23"/>
        <v>0.12522666666666665</v>
      </c>
      <c r="V13" s="26">
        <f t="shared" si="23"/>
        <v>0.14856666666666668</v>
      </c>
      <c r="W13" s="26">
        <f t="shared" si="23"/>
        <v>9.0285867154261852E-3</v>
      </c>
      <c r="X13" s="26">
        <f t="shared" si="23"/>
        <v>1.0497680513797826E-2</v>
      </c>
      <c r="Y13" s="26">
        <f t="shared" si="23"/>
        <v>0.21907666815291649</v>
      </c>
      <c r="Z13" s="26">
        <f t="shared" si="23"/>
        <v>0.19916831845170624</v>
      </c>
      <c r="AA13" s="26"/>
      <c r="AB13" s="43">
        <f t="shared" si="23"/>
        <v>0.39437570542856992</v>
      </c>
      <c r="AC13" s="27">
        <f t="shared" si="23"/>
        <v>0.39601545947620259</v>
      </c>
      <c r="AD13" s="27">
        <f t="shared" si="23"/>
        <v>0.47236269487538352</v>
      </c>
      <c r="AE13" s="27">
        <f t="shared" si="23"/>
        <v>0.56563923445330777</v>
      </c>
      <c r="AF13" s="27">
        <f t="shared" si="23"/>
        <v>0.64918808095210523</v>
      </c>
      <c r="AG13" s="27">
        <f t="shared" si="23"/>
        <v>0.71221325212721109</v>
      </c>
      <c r="AH13" s="27">
        <f t="shared" si="23"/>
        <v>0.78200963924849032</v>
      </c>
      <c r="AI13" s="27">
        <f t="shared" si="23"/>
        <v>0.84146126117509434</v>
      </c>
      <c r="AJ13" s="27">
        <f t="shared" si="23"/>
        <v>0.88110587896569736</v>
      </c>
      <c r="AK13" s="27">
        <f t="shared" si="23"/>
        <v>0.9232222271399303</v>
      </c>
      <c r="AL13" s="27">
        <f t="shared" si="23"/>
        <v>0.93796257836136909</v>
      </c>
      <c r="AM13" s="27">
        <f t="shared" si="23"/>
        <v>0.95314981068020921</v>
      </c>
      <c r="AN13" s="27">
        <f t="shared" si="23"/>
        <v>0.96872076634654458</v>
      </c>
      <c r="AO13" s="27">
        <f t="shared" si="23"/>
        <v>0.98467491790650485</v>
      </c>
      <c r="AP13" s="27">
        <f t="shared" si="23"/>
        <v>1.0010152636468461</v>
      </c>
      <c r="AQ13" s="27">
        <f t="shared" si="23"/>
        <v>1.0177440593109464</v>
      </c>
    </row>
    <row r="14" spans="1:101" ht="12.75" customHeight="1" x14ac:dyDescent="0.2">
      <c r="B14" s="1" t="s">
        <v>4</v>
      </c>
      <c r="E14" s="32"/>
      <c r="F14" s="27">
        <v>150.529032</v>
      </c>
      <c r="G14" s="32">
        <f>V14</f>
        <v>150</v>
      </c>
      <c r="H14" s="27">
        <v>150.700785</v>
      </c>
      <c r="I14" s="32">
        <f>W14</f>
        <v>153.40163899999999</v>
      </c>
      <c r="J14" s="27">
        <v>158.57798500000001</v>
      </c>
      <c r="K14" s="32">
        <f>X14</f>
        <v>164.60779099999999</v>
      </c>
      <c r="L14" s="27">
        <v>170.828776</v>
      </c>
      <c r="M14" s="32">
        <f>Y14</f>
        <v>170.949286</v>
      </c>
      <c r="N14" s="27">
        <v>171.22236899999999</v>
      </c>
      <c r="O14" s="32">
        <f>+Z14</f>
        <v>171.46803399999999</v>
      </c>
      <c r="P14" s="14">
        <v>172.98253099999999</v>
      </c>
      <c r="S14" s="27">
        <v>105.84317</v>
      </c>
      <c r="T14" s="1">
        <v>150</v>
      </c>
      <c r="U14" s="1">
        <v>150</v>
      </c>
      <c r="V14" s="1">
        <v>150</v>
      </c>
      <c r="W14" s="27">
        <v>153.40163899999999</v>
      </c>
      <c r="X14" s="27">
        <v>164.60779099999999</v>
      </c>
      <c r="Y14" s="27">
        <v>170.949286</v>
      </c>
      <c r="Z14" s="27">
        <v>171.46803399999999</v>
      </c>
      <c r="AA14" s="27"/>
      <c r="AB14" s="134">
        <f>+Z14</f>
        <v>171.46803399999999</v>
      </c>
      <c r="AC14" s="27">
        <f>AB14</f>
        <v>171.46803399999999</v>
      </c>
      <c r="AD14" s="27">
        <f t="shared" ref="AD14:AQ14" si="24">AC14</f>
        <v>171.46803399999999</v>
      </c>
      <c r="AE14" s="27">
        <f t="shared" si="24"/>
        <v>171.46803399999999</v>
      </c>
      <c r="AF14" s="27">
        <f t="shared" si="24"/>
        <v>171.46803399999999</v>
      </c>
      <c r="AG14" s="27">
        <f t="shared" si="24"/>
        <v>171.46803399999999</v>
      </c>
      <c r="AH14" s="27">
        <f t="shared" si="24"/>
        <v>171.46803399999999</v>
      </c>
      <c r="AI14" s="27">
        <f t="shared" si="24"/>
        <v>171.46803399999999</v>
      </c>
      <c r="AJ14" s="27">
        <f t="shared" si="24"/>
        <v>171.46803399999999</v>
      </c>
      <c r="AK14" s="27">
        <f t="shared" si="24"/>
        <v>171.46803399999999</v>
      </c>
      <c r="AL14" s="27">
        <f t="shared" si="24"/>
        <v>171.46803399999999</v>
      </c>
      <c r="AM14" s="27">
        <f t="shared" si="24"/>
        <v>171.46803399999999</v>
      </c>
      <c r="AN14" s="27">
        <f t="shared" si="24"/>
        <v>171.46803399999999</v>
      </c>
      <c r="AO14" s="27">
        <f t="shared" si="24"/>
        <v>171.46803399999999</v>
      </c>
      <c r="AP14" s="27">
        <f t="shared" si="24"/>
        <v>171.46803399999999</v>
      </c>
      <c r="AQ14" s="27">
        <f t="shared" si="24"/>
        <v>171.46803399999999</v>
      </c>
    </row>
    <row r="15" spans="1:101" ht="12.75" customHeight="1" x14ac:dyDescent="0.25">
      <c r="AS15" s="45" t="s">
        <v>87</v>
      </c>
      <c r="AT15" s="62">
        <v>-0.02</v>
      </c>
    </row>
    <row r="16" spans="1:101" ht="12.75" customHeight="1" x14ac:dyDescent="0.25">
      <c r="B16" s="1" t="s">
        <v>43</v>
      </c>
      <c r="E16" s="34"/>
      <c r="F16" s="23">
        <f t="shared" ref="F16:L16" si="25">F5/F3</f>
        <v>0.85857590685176888</v>
      </c>
      <c r="G16" s="34">
        <f t="shared" si="25"/>
        <v>0.8558438255118912</v>
      </c>
      <c r="H16" s="23">
        <f t="shared" si="25"/>
        <v>0.85590062111801246</v>
      </c>
      <c r="I16" s="34">
        <f t="shared" si="25"/>
        <v>0.84701747534901894</v>
      </c>
      <c r="J16" s="23">
        <f t="shared" si="25"/>
        <v>0.88574714847119718</v>
      </c>
      <c r="K16" s="34">
        <f t="shared" si="25"/>
        <v>0.85246968833916514</v>
      </c>
      <c r="L16" s="23">
        <f t="shared" si="25"/>
        <v>0.86382558174358359</v>
      </c>
      <c r="M16" s="34">
        <f t="shared" ref="M16:N16" si="26">M5/M3</f>
        <v>0.83166253419972636</v>
      </c>
      <c r="N16" s="23">
        <f t="shared" si="26"/>
        <v>0.82760876676480211</v>
      </c>
      <c r="O16" s="34">
        <f t="shared" ref="O16:P16" si="27">O5/O3</f>
        <v>0.43600875940207556</v>
      </c>
      <c r="P16" s="23">
        <f t="shared" si="27"/>
        <v>0.64682389857954314</v>
      </c>
      <c r="S16" s="23">
        <f t="shared" ref="S16:T16" si="28">S5/S3</f>
        <v>0.85328664255794195</v>
      </c>
      <c r="T16" s="23">
        <f t="shared" si="28"/>
        <v>0.86532184472834472</v>
      </c>
      <c r="U16" s="23">
        <f t="shared" ref="U16:V16" si="29">U5/U3</f>
        <v>0.8610677904237316</v>
      </c>
      <c r="V16" s="23">
        <f t="shared" si="29"/>
        <v>0.85725283692857257</v>
      </c>
      <c r="W16" s="23">
        <f>W5/W3</f>
        <v>0.85475570319479577</v>
      </c>
      <c r="X16" s="23">
        <f>X5/X3</f>
        <v>0.85729986922284984</v>
      </c>
      <c r="Y16" s="23">
        <f t="shared" ref="Y16:Z16" si="30">Y5/Y3</f>
        <v>0.84829230777171583</v>
      </c>
      <c r="Z16" s="23">
        <f t="shared" si="30"/>
        <v>0.6363805432346733</v>
      </c>
      <c r="AA16" s="23"/>
      <c r="AB16" s="135">
        <f>AB5/AB3</f>
        <v>0.84000000000000008</v>
      </c>
      <c r="AC16" s="23">
        <f t="shared" ref="AC16:AQ16" si="31">AC5/AC3</f>
        <v>0.86</v>
      </c>
      <c r="AD16" s="23">
        <f t="shared" si="31"/>
        <v>0.8600000000000001</v>
      </c>
      <c r="AE16" s="23">
        <f t="shared" si="31"/>
        <v>0.86</v>
      </c>
      <c r="AF16" s="23">
        <f t="shared" si="31"/>
        <v>0.86</v>
      </c>
      <c r="AG16" s="23">
        <f t="shared" si="31"/>
        <v>0.86</v>
      </c>
      <c r="AH16" s="23">
        <f t="shared" si="31"/>
        <v>0.86</v>
      </c>
      <c r="AI16" s="23">
        <f t="shared" si="31"/>
        <v>0.86</v>
      </c>
      <c r="AJ16" s="23">
        <f t="shared" si="31"/>
        <v>0.86</v>
      </c>
      <c r="AK16" s="23">
        <f t="shared" si="31"/>
        <v>0.86</v>
      </c>
      <c r="AL16" s="23">
        <f t="shared" si="31"/>
        <v>0.86</v>
      </c>
      <c r="AM16" s="23">
        <f t="shared" si="31"/>
        <v>0.86</v>
      </c>
      <c r="AN16" s="23">
        <f t="shared" si="31"/>
        <v>0.85999999999999988</v>
      </c>
      <c r="AO16" s="23">
        <f t="shared" si="31"/>
        <v>0.86</v>
      </c>
      <c r="AP16" s="23">
        <f t="shared" si="31"/>
        <v>0.85999999999999988</v>
      </c>
      <c r="AQ16" s="23">
        <f t="shared" si="31"/>
        <v>0.85999999999999988</v>
      </c>
      <c r="AS16" s="46" t="s">
        <v>88</v>
      </c>
      <c r="AT16" s="63">
        <v>7.0000000000000007E-2</v>
      </c>
    </row>
    <row r="17" spans="1:47" ht="12.75" customHeight="1" x14ac:dyDescent="0.25">
      <c r="B17" s="1" t="s">
        <v>44</v>
      </c>
      <c r="E17" s="34"/>
      <c r="F17" s="23">
        <f t="shared" ref="F17:L17" si="32">F8/F3</f>
        <v>0.25023137781758459</v>
      </c>
      <c r="G17" s="34">
        <f t="shared" si="32"/>
        <v>0.18569566323286293</v>
      </c>
      <c r="H17" s="23">
        <f t="shared" si="32"/>
        <v>0.27698974433049256</v>
      </c>
      <c r="I17" s="34">
        <f t="shared" si="32"/>
        <v>-0.90940154251684147</v>
      </c>
      <c r="J17" s="23">
        <f t="shared" si="32"/>
        <v>-0.96060577015240112</v>
      </c>
      <c r="K17" s="34">
        <f t="shared" si="32"/>
        <v>0.31901700707950204</v>
      </c>
      <c r="L17" s="23">
        <f t="shared" si="32"/>
        <v>0.37551036706497759</v>
      </c>
      <c r="M17" s="34">
        <f t="shared" ref="M17:N17" si="33">M8/M3</f>
        <v>0.19058866279069778</v>
      </c>
      <c r="N17" s="23">
        <f t="shared" si="33"/>
        <v>0.29209828081270683</v>
      </c>
      <c r="O17" s="34">
        <f t="shared" ref="O17:P17" si="34">O8/O3</f>
        <v>0.20888317623536121</v>
      </c>
      <c r="P17" s="23">
        <f t="shared" si="34"/>
        <v>0.28835359561025953</v>
      </c>
      <c r="S17" s="23">
        <f t="shared" ref="S17:T17" si="35">S8/S3</f>
        <v>0.13719072927301687</v>
      </c>
      <c r="T17" s="23">
        <f t="shared" si="35"/>
        <v>0.19480029481959843</v>
      </c>
      <c r="U17" s="23">
        <f t="shared" ref="U17:V17" si="36">U8/U3</f>
        <v>0.20649036068619966</v>
      </c>
      <c r="V17" s="23">
        <f t="shared" si="36"/>
        <v>0.2189785517421898</v>
      </c>
      <c r="W17" s="23">
        <f>W8/W3</f>
        <v>0.12407987618436456</v>
      </c>
      <c r="X17" s="23">
        <f>X8/X3</f>
        <v>0.13328139347227252</v>
      </c>
      <c r="Y17" s="23">
        <f t="shared" ref="Y17:AQ17" si="37">Y8/Y3</f>
        <v>0.28620168162650139</v>
      </c>
      <c r="Z17" s="23">
        <f t="shared" ref="Z17" si="38">Z8/Z3</f>
        <v>0.25146223300880594</v>
      </c>
      <c r="AA17" s="23"/>
      <c r="AB17" s="135">
        <f>AB8/AB3</f>
        <v>0.31680996246057758</v>
      </c>
      <c r="AC17" s="23">
        <f t="shared" si="37"/>
        <v>0.31972061768197663</v>
      </c>
      <c r="AD17" s="23">
        <f t="shared" si="37"/>
        <v>0.31913751623426984</v>
      </c>
      <c r="AE17" s="23">
        <f t="shared" si="37"/>
        <v>0.31904558728497412</v>
      </c>
      <c r="AF17" s="23">
        <f t="shared" si="37"/>
        <v>0.31901699254586874</v>
      </c>
      <c r="AG17" s="23">
        <f t="shared" si="37"/>
        <v>0.31902524499582702</v>
      </c>
      <c r="AH17" s="23">
        <f t="shared" si="37"/>
        <v>0.31903358080386574</v>
      </c>
      <c r="AI17" s="23">
        <f t="shared" si="37"/>
        <v>0.31853134931929028</v>
      </c>
      <c r="AJ17" s="23">
        <f t="shared" si="37"/>
        <v>0.31858664915920454</v>
      </c>
      <c r="AK17" s="23">
        <f t="shared" si="37"/>
        <v>0.31872315215262864</v>
      </c>
      <c r="AL17" s="23">
        <f t="shared" si="37"/>
        <v>0.31869890051397659</v>
      </c>
      <c r="AM17" s="23">
        <f t="shared" si="37"/>
        <v>0.31869360508372963</v>
      </c>
      <c r="AN17" s="23">
        <f t="shared" si="37"/>
        <v>0.31868430243738827</v>
      </c>
      <c r="AO17" s="23">
        <f t="shared" si="37"/>
        <v>0.31866867242209507</v>
      </c>
      <c r="AP17" s="23">
        <f t="shared" si="37"/>
        <v>0.31864558404074694</v>
      </c>
      <c r="AQ17" s="23">
        <f t="shared" si="37"/>
        <v>0.3186137470254885</v>
      </c>
      <c r="AS17" s="46" t="s">
        <v>89</v>
      </c>
      <c r="AT17" s="64">
        <f>NPV(AT16,AC12:CW12)</f>
        <v>1856.1599751389613</v>
      </c>
    </row>
    <row r="18" spans="1:47" ht="12.75" customHeight="1" x14ac:dyDescent="0.25">
      <c r="A18" s="3"/>
      <c r="B18" s="1" t="s">
        <v>45</v>
      </c>
      <c r="E18" s="34"/>
      <c r="F18" s="23">
        <f t="shared" ref="F18:L18" si="39">F12/F3</f>
        <v>0.19965666517390643</v>
      </c>
      <c r="G18" s="34">
        <f t="shared" si="39"/>
        <v>0.14164441053033205</v>
      </c>
      <c r="H18" s="23">
        <f t="shared" si="39"/>
        <v>0.16640184890943235</v>
      </c>
      <c r="I18" s="34">
        <f t="shared" si="39"/>
        <v>-0.98945621399980577</v>
      </c>
      <c r="J18" s="23">
        <f t="shared" si="39"/>
        <v>-1.1150196491900701</v>
      </c>
      <c r="K18" s="34">
        <f t="shared" si="39"/>
        <v>0.21744649686711701</v>
      </c>
      <c r="L18" s="23">
        <f t="shared" si="39"/>
        <v>0.26978327493436355</v>
      </c>
      <c r="M18" s="34">
        <f t="shared" ref="M18:N18" si="40">M12/M3</f>
        <v>0.11142698358413144</v>
      </c>
      <c r="N18" s="23">
        <f t="shared" si="40"/>
        <v>0.1991785701304839</v>
      </c>
      <c r="O18" s="34">
        <f t="shared" ref="O18:P18" si="41">O12/O3</f>
        <v>0.1164524421593829</v>
      </c>
      <c r="P18" s="23">
        <f t="shared" si="41"/>
        <v>0.18413920981315079</v>
      </c>
      <c r="S18" s="23">
        <f t="shared" ref="S18:T18" si="42">S12/S3</f>
        <v>1.1326011659971446E-2</v>
      </c>
      <c r="T18" s="23">
        <f t="shared" si="42"/>
        <v>0.15927277832373993</v>
      </c>
      <c r="U18" s="23">
        <f t="shared" ref="U18:V18" si="43">U12/U3</f>
        <v>0.15582174735375118</v>
      </c>
      <c r="V18" s="23">
        <f t="shared" si="43"/>
        <v>0.17156296672671562</v>
      </c>
      <c r="W18" s="23">
        <f>W12/W3</f>
        <v>1.7427302354258722E-2</v>
      </c>
      <c r="X18" s="23">
        <f>X12/X3</f>
        <v>2.4040735691032097E-2</v>
      </c>
      <c r="Y18" s="23">
        <f t="shared" ref="Y18:AB18" si="44">Y12/Y3</f>
        <v>0.19330446317506367</v>
      </c>
      <c r="Z18" s="23">
        <f t="shared" ref="Z18" si="45">Z12/Z3</f>
        <v>0.15878130201504537</v>
      </c>
      <c r="AA18" s="23"/>
      <c r="AB18" s="42">
        <f t="shared" si="44"/>
        <v>0.2832476248413448</v>
      </c>
      <c r="AC18" s="23">
        <f t="shared" ref="AC18:AQ18" si="46">AC12/AC3</f>
        <v>0.24732636980436912</v>
      </c>
      <c r="AD18" s="23">
        <f t="shared" si="46"/>
        <v>0.24584004605329873</v>
      </c>
      <c r="AE18" s="23">
        <f t="shared" si="46"/>
        <v>0.24532133350807039</v>
      </c>
      <c r="AF18" s="23">
        <f t="shared" si="46"/>
        <v>0.24483217357751796</v>
      </c>
      <c r="AG18" s="23">
        <f t="shared" si="46"/>
        <v>0.24418293849769063</v>
      </c>
      <c r="AH18" s="23">
        <f t="shared" si="46"/>
        <v>0.243738810065771</v>
      </c>
      <c r="AI18" s="23">
        <f t="shared" si="46"/>
        <v>0.24284152510262372</v>
      </c>
      <c r="AJ18" s="23">
        <f t="shared" si="46"/>
        <v>0.24217406110448467</v>
      </c>
      <c r="AK18" s="23">
        <f t="shared" si="46"/>
        <v>0.24166651454274929</v>
      </c>
      <c r="AL18" s="23">
        <f t="shared" si="46"/>
        <v>0.24071079468404435</v>
      </c>
      <c r="AM18" s="23">
        <f t="shared" si="46"/>
        <v>0.23981207620077299</v>
      </c>
      <c r="AN18" s="23">
        <f t="shared" si="46"/>
        <v>0.23895070769391963</v>
      </c>
      <c r="AO18" s="23">
        <f t="shared" si="46"/>
        <v>0.2381235865189805</v>
      </c>
      <c r="AP18" s="23">
        <f t="shared" si="46"/>
        <v>0.23732859464691131</v>
      </c>
      <c r="AQ18" s="23">
        <f t="shared" si="46"/>
        <v>0.23656351909664572</v>
      </c>
      <c r="AS18" s="46" t="s">
        <v>8</v>
      </c>
      <c r="AT18" s="64">
        <f>Main!C11</f>
        <v>41.404000000000003</v>
      </c>
    </row>
    <row r="19" spans="1:47" ht="12.75" customHeight="1" x14ac:dyDescent="0.25">
      <c r="B19" s="1" t="s">
        <v>137</v>
      </c>
      <c r="E19" s="34"/>
      <c r="F19" s="23">
        <f t="shared" ref="F19:L19" si="47">F11/F10</f>
        <v>0.1837046078730547</v>
      </c>
      <c r="G19" s="34">
        <f t="shared" si="47"/>
        <v>0.20467731857538143</v>
      </c>
      <c r="H19" s="23">
        <f t="shared" si="47"/>
        <v>0.20376002211777711</v>
      </c>
      <c r="I19" s="34">
        <f t="shared" si="47"/>
        <v>0.23636226642555747</v>
      </c>
      <c r="J19" s="23">
        <f t="shared" si="47"/>
        <v>0.19711505279867483</v>
      </c>
      <c r="K19" s="34">
        <f t="shared" si="47"/>
        <v>0.10634740151160453</v>
      </c>
      <c r="L19" s="23">
        <f t="shared" si="47"/>
        <v>0.19176361515686216</v>
      </c>
      <c r="M19" s="34">
        <f t="shared" ref="M19:N19" si="48">M11/M10</f>
        <v>0.21182340489869955</v>
      </c>
      <c r="N19" s="23">
        <f t="shared" si="48"/>
        <v>0.20834988623641146</v>
      </c>
      <c r="O19" s="34">
        <f t="shared" ref="O19:P19" si="49">O11/O10</f>
        <v>0.29670519234086623</v>
      </c>
      <c r="P19" s="23">
        <f t="shared" si="49"/>
        <v>0.25673936602546737</v>
      </c>
      <c r="S19" s="23">
        <f>S11/S10</f>
        <v>0.53885003885004146</v>
      </c>
      <c r="T19" s="23">
        <f t="shared" ref="T19:X19" si="50">T11/T10</f>
        <v>0.13561904761904767</v>
      </c>
      <c r="U19" s="23">
        <f t="shared" si="50"/>
        <v>0.21517506476142731</v>
      </c>
      <c r="V19" s="23">
        <f t="shared" si="50"/>
        <v>0.1922212556183848</v>
      </c>
      <c r="W19" s="23">
        <f t="shared" si="50"/>
        <v>-0.15802675585284237</v>
      </c>
      <c r="X19" s="23">
        <f t="shared" si="50"/>
        <v>-2.7402597402597104</v>
      </c>
      <c r="Y19" s="23">
        <f t="shared" ref="Y19:Z19" si="51">Y11/Y10</f>
        <v>0.19744990892531872</v>
      </c>
      <c r="Z19" s="23">
        <f t="shared" si="51"/>
        <v>0.24243566992014201</v>
      </c>
      <c r="AA19" s="23"/>
      <c r="AB19" s="135">
        <v>0.2</v>
      </c>
      <c r="AC19" s="23">
        <f>AB19</f>
        <v>0.2</v>
      </c>
      <c r="AD19" s="23">
        <f t="shared" ref="AD19:AQ19" si="52">AC19</f>
        <v>0.2</v>
      </c>
      <c r="AE19" s="23">
        <f t="shared" si="52"/>
        <v>0.2</v>
      </c>
      <c r="AF19" s="23">
        <f t="shared" si="52"/>
        <v>0.2</v>
      </c>
      <c r="AG19" s="23">
        <f t="shared" si="52"/>
        <v>0.2</v>
      </c>
      <c r="AH19" s="23">
        <f t="shared" si="52"/>
        <v>0.2</v>
      </c>
      <c r="AI19" s="23">
        <f t="shared" si="52"/>
        <v>0.2</v>
      </c>
      <c r="AJ19" s="23">
        <f t="shared" si="52"/>
        <v>0.2</v>
      </c>
      <c r="AK19" s="23">
        <f t="shared" si="52"/>
        <v>0.2</v>
      </c>
      <c r="AL19" s="23">
        <f t="shared" si="52"/>
        <v>0.2</v>
      </c>
      <c r="AM19" s="23">
        <f t="shared" si="52"/>
        <v>0.2</v>
      </c>
      <c r="AN19" s="23">
        <f t="shared" si="52"/>
        <v>0.2</v>
      </c>
      <c r="AO19" s="23">
        <f t="shared" si="52"/>
        <v>0.2</v>
      </c>
      <c r="AP19" s="23">
        <f t="shared" si="52"/>
        <v>0.2</v>
      </c>
      <c r="AQ19" s="23">
        <f t="shared" si="52"/>
        <v>0.2</v>
      </c>
      <c r="AS19" s="46" t="s">
        <v>90</v>
      </c>
      <c r="AT19" s="64">
        <f>AT17+AT18</f>
        <v>1897.5639751389613</v>
      </c>
    </row>
    <row r="20" spans="1:47" ht="12.75" customHeight="1" x14ac:dyDescent="0.25">
      <c r="AS20" s="47" t="s">
        <v>91</v>
      </c>
      <c r="AT20" s="65">
        <f>AT19/Main!C7</f>
        <v>10.969685575585441</v>
      </c>
    </row>
    <row r="21" spans="1:47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Q21" si="53">H3/F3-1</f>
        <v>3.3437826541274918E-2</v>
      </c>
      <c r="I21" s="34">
        <f t="shared" si="53"/>
        <v>-0.8371645682309552</v>
      </c>
      <c r="J21" s="23">
        <f t="shared" si="53"/>
        <v>-0.84929943666040741</v>
      </c>
      <c r="K21" s="34">
        <f t="shared" si="53"/>
        <v>4.9987308405740531</v>
      </c>
      <c r="L21" s="23">
        <f t="shared" si="53"/>
        <v>8.6015527652640671</v>
      </c>
      <c r="M21" s="34">
        <f t="shared" si="53"/>
        <v>0.5227927414761171</v>
      </c>
      <c r="N21" s="23">
        <f t="shared" si="53"/>
        <v>9.8619388457967805E-2</v>
      </c>
      <c r="O21" s="34">
        <f t="shared" si="53"/>
        <v>0.12249914500683956</v>
      </c>
      <c r="P21" s="23">
        <f t="shared" si="53"/>
        <v>8.3006215243702997E-2</v>
      </c>
      <c r="Q21" s="34">
        <f t="shared" si="53"/>
        <v>5.8868894601542543E-2</v>
      </c>
      <c r="S21" s="38" t="s">
        <v>71</v>
      </c>
      <c r="T21" s="23">
        <f t="shared" ref="T21:W21" si="54">T3/S3-1</f>
        <v>8.744978674274595E-2</v>
      </c>
      <c r="U21" s="23">
        <f t="shared" si="54"/>
        <v>5.7735504703074536E-2</v>
      </c>
      <c r="V21" s="23">
        <f t="shared" si="54"/>
        <v>7.7529282941235067E-2</v>
      </c>
      <c r="W21" s="23">
        <f t="shared" si="54"/>
        <v>-0.38817035428888169</v>
      </c>
      <c r="X21" s="23">
        <f>X3/W3-1</f>
        <v>-9.5567047928227233E-2</v>
      </c>
      <c r="Y21" s="23">
        <f t="shared" ref="Y21" si="55">Y3/X3-1</f>
        <v>1.6954144522663404</v>
      </c>
      <c r="Z21" s="23">
        <f t="shared" ref="Z21:AA21" si="56">Z3/Y3-1</f>
        <v>0.11015221352217641</v>
      </c>
      <c r="AA21" s="23">
        <f t="shared" si="56"/>
        <v>7.1219348899489665E-2</v>
      </c>
      <c r="AB21" s="135">
        <v>0.11</v>
      </c>
      <c r="AC21" s="23">
        <v>0.15</v>
      </c>
      <c r="AD21" s="23">
        <v>0.2</v>
      </c>
      <c r="AE21" s="23">
        <v>0.2</v>
      </c>
      <c r="AF21" s="23">
        <v>0.15</v>
      </c>
      <c r="AG21" s="23">
        <v>0.1</v>
      </c>
      <c r="AH21" s="23">
        <v>0.1</v>
      </c>
      <c r="AI21" s="23">
        <v>0.08</v>
      </c>
      <c r="AJ21" s="23">
        <v>0.05</v>
      </c>
      <c r="AK21" s="23">
        <v>0.05</v>
      </c>
      <c r="AL21" s="23">
        <v>0.02</v>
      </c>
      <c r="AM21" s="23">
        <v>0.02</v>
      </c>
      <c r="AN21" s="23">
        <v>0.02</v>
      </c>
      <c r="AO21" s="23">
        <v>0.02</v>
      </c>
      <c r="AP21" s="23">
        <v>0.02</v>
      </c>
      <c r="AQ21" s="23">
        <v>0.02</v>
      </c>
      <c r="AS21" s="46" t="s">
        <v>92</v>
      </c>
      <c r="AT21" s="66">
        <f>Main!C6</f>
        <v>3.2050000000000001</v>
      </c>
      <c r="AU21" s="49"/>
    </row>
    <row r="22" spans="1:47" ht="12.75" customHeight="1" x14ac:dyDescent="0.25">
      <c r="B22" s="1" t="s">
        <v>47</v>
      </c>
      <c r="E22" s="34"/>
      <c r="F22" s="38" t="s">
        <v>71</v>
      </c>
      <c r="G22" s="34">
        <f t="shared" ref="G22" si="57">G3/F3-1</f>
        <v>-6.0994178235557306E-2</v>
      </c>
      <c r="H22" s="23">
        <f t="shared" ref="H22:Q22" si="58">H3/G3-1</f>
        <v>0.10056594175251155</v>
      </c>
      <c r="I22" s="34">
        <f t="shared" si="58"/>
        <v>-0.85204391159901782</v>
      </c>
      <c r="J22" s="23">
        <f t="shared" si="58"/>
        <v>1.8549253148492095E-2</v>
      </c>
      <c r="K22" s="34">
        <f t="shared" si="58"/>
        <v>4.8894852870698742</v>
      </c>
      <c r="L22" s="23">
        <f t="shared" si="58"/>
        <v>0.63028724875905273</v>
      </c>
      <c r="M22" s="34">
        <f t="shared" si="58"/>
        <v>-6.5935930839647328E-2</v>
      </c>
      <c r="N22" s="23">
        <f t="shared" si="58"/>
        <v>0.17617134062927486</v>
      </c>
      <c r="O22" s="34">
        <f t="shared" si="58"/>
        <v>-4.563297350343487E-2</v>
      </c>
      <c r="P22" s="23">
        <f t="shared" si="58"/>
        <v>0.1347900599828622</v>
      </c>
      <c r="Q22" s="34">
        <f t="shared" si="58"/>
        <v>-6.6903269651891528E-2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38" t="s">
        <v>71</v>
      </c>
      <c r="AA22" s="38" t="s">
        <v>71</v>
      </c>
      <c r="AB22" s="136"/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P22" s="38" t="s">
        <v>71</v>
      </c>
      <c r="AQ22" s="38" t="s">
        <v>71</v>
      </c>
      <c r="AS22" s="46" t="s">
        <v>93</v>
      </c>
      <c r="AT22" s="155">
        <f>AT20/AT21-1</f>
        <v>2.4226788067349267</v>
      </c>
    </row>
    <row r="23" spans="1:47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U23" s="38"/>
      <c r="V23" s="38"/>
      <c r="W23" s="38"/>
      <c r="X23" s="38"/>
      <c r="Y23" s="38"/>
      <c r="Z23" s="38"/>
      <c r="AA23" s="38"/>
      <c r="AB23" s="136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S23" s="48" t="s">
        <v>157</v>
      </c>
      <c r="AT23" s="154">
        <f>+AT20*Main!C7</f>
        <v>1897.5639751389613</v>
      </c>
    </row>
    <row r="24" spans="1:47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U24" s="38"/>
      <c r="V24" s="38"/>
      <c r="W24" s="38"/>
      <c r="X24" s="38"/>
      <c r="Y24" s="38"/>
      <c r="Z24" s="38"/>
      <c r="AA24" s="38"/>
      <c r="AB24" s="136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</row>
    <row r="25" spans="1:47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+Z25</f>
        <v>71</v>
      </c>
      <c r="P25" s="3">
        <v>71</v>
      </c>
      <c r="Q25" s="61"/>
      <c r="S25" s="3">
        <v>54</v>
      </c>
      <c r="T25" s="3">
        <v>58</v>
      </c>
      <c r="U25" s="10"/>
      <c r="V25" s="10">
        <f>SUM(V26:V28)</f>
        <v>60</v>
      </c>
      <c r="W25" s="10"/>
      <c r="X25" s="10">
        <f>SUM(X26:X28)</f>
        <v>64</v>
      </c>
      <c r="Y25" s="10">
        <f>SUM(Y26:Y28)</f>
        <v>67</v>
      </c>
      <c r="Z25" s="10">
        <f>SUM(Z26:Z28)</f>
        <v>71</v>
      </c>
      <c r="AA25" s="10"/>
      <c r="AB25" s="13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"/>
      <c r="AR25" s="1"/>
      <c r="AS25" s="1"/>
      <c r="AT25" s="1"/>
      <c r="AU25" s="1"/>
    </row>
    <row r="26" spans="1:47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+Z26</f>
        <v>62</v>
      </c>
      <c r="U26" s="38"/>
      <c r="V26" s="38">
        <v>54</v>
      </c>
      <c r="W26" s="38"/>
      <c r="X26" s="38">
        <v>56</v>
      </c>
      <c r="Y26" s="38">
        <v>59</v>
      </c>
      <c r="Z26" s="38">
        <v>62</v>
      </c>
      <c r="AA26" s="38"/>
      <c r="AB26" s="136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</row>
    <row r="27" spans="1:47" ht="12.75" customHeight="1" x14ac:dyDescent="0.2">
      <c r="B27" s="51" t="s">
        <v>98</v>
      </c>
      <c r="O27" s="25">
        <f>+Z27</f>
        <v>3</v>
      </c>
      <c r="V27" s="1">
        <v>6</v>
      </c>
      <c r="X27" s="1">
        <v>5</v>
      </c>
      <c r="Y27" s="1">
        <v>3</v>
      </c>
      <c r="Z27" s="1">
        <v>3</v>
      </c>
    </row>
    <row r="28" spans="1:47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+Z28</f>
        <v>6</v>
      </c>
      <c r="P28" s="55"/>
      <c r="Q28" s="56"/>
      <c r="R28" s="55"/>
      <c r="S28" s="55"/>
      <c r="T28" s="55"/>
      <c r="U28" s="52"/>
      <c r="V28" s="52">
        <v>0</v>
      </c>
      <c r="W28" s="52"/>
      <c r="X28" s="52">
        <v>3</v>
      </c>
      <c r="Y28" s="52">
        <v>5</v>
      </c>
      <c r="Z28" s="52">
        <v>6</v>
      </c>
      <c r="AA28" s="52"/>
      <c r="AB28" s="137"/>
      <c r="AC28" s="55"/>
      <c r="AD28" s="55"/>
      <c r="AE28" s="55"/>
      <c r="AF28" s="55"/>
      <c r="AG28" s="55"/>
      <c r="AH28" s="55"/>
      <c r="AI28" s="55"/>
    </row>
    <row r="29" spans="1:47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73"/>
      <c r="Q29" s="74"/>
      <c r="R29" s="73"/>
      <c r="S29" s="80">
        <f>S3/S25</f>
        <v>1.9407962962962964</v>
      </c>
      <c r="T29" s="80">
        <f t="shared" ref="T29:Z29" si="59">T3/T25</f>
        <v>1.9649655172413794</v>
      </c>
      <c r="U29" s="80"/>
      <c r="V29" s="80">
        <f t="shared" si="59"/>
        <v>2.1649000000000003</v>
      </c>
      <c r="W29" s="80"/>
      <c r="X29" s="80">
        <f t="shared" si="59"/>
        <v>1.12309375</v>
      </c>
      <c r="Y29" s="80">
        <f t="shared" si="59"/>
        <v>2.8916567164179106</v>
      </c>
      <c r="Z29" s="80">
        <f t="shared" si="59"/>
        <v>3.0293239436619719</v>
      </c>
      <c r="AA29" s="80"/>
      <c r="AB29" s="138"/>
      <c r="AC29" s="73"/>
      <c r="AD29" s="73"/>
      <c r="AE29" s="73"/>
      <c r="AF29" s="73"/>
      <c r="AG29" s="73"/>
      <c r="AH29" s="73"/>
      <c r="AI29" s="73"/>
    </row>
    <row r="30" spans="1:47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68"/>
      <c r="Q30" s="69"/>
      <c r="R30" s="68"/>
      <c r="S30" s="36">
        <v>12.1</v>
      </c>
      <c r="T30" s="36">
        <v>13.1</v>
      </c>
      <c r="U30" s="70"/>
      <c r="V30" s="70"/>
      <c r="W30" s="70"/>
      <c r="X30" s="70"/>
      <c r="Y30" s="70"/>
      <c r="Z30" s="70"/>
      <c r="AA30" s="70"/>
      <c r="AB30" s="139"/>
      <c r="AC30" s="68"/>
      <c r="AD30" s="68"/>
      <c r="AE30" s="68"/>
      <c r="AF30" s="68"/>
      <c r="AG30" s="68"/>
      <c r="AH30" s="68"/>
      <c r="AI30" s="68"/>
    </row>
    <row r="31" spans="1:47" s="75" customFormat="1" x14ac:dyDescent="0.2">
      <c r="B31" s="76" t="s">
        <v>116</v>
      </c>
      <c r="E31" s="77"/>
      <c r="G31" s="77"/>
      <c r="I31" s="77"/>
      <c r="K31" s="77"/>
      <c r="M31" s="77"/>
      <c r="O31" s="77"/>
      <c r="Q31" s="77"/>
      <c r="S31" s="79">
        <f>S3/S30</f>
        <v>8.6614049586776858</v>
      </c>
      <c r="T31" s="79">
        <f>T3/T30</f>
        <v>8.6998473282442745</v>
      </c>
      <c r="AB31" s="78"/>
    </row>
    <row r="32" spans="1:47" s="75" customFormat="1" x14ac:dyDescent="0.2">
      <c r="B32" s="76"/>
      <c r="E32" s="77"/>
      <c r="G32" s="77"/>
      <c r="I32" s="77"/>
      <c r="K32" s="77"/>
      <c r="M32" s="77"/>
      <c r="O32" s="77"/>
      <c r="Q32" s="77"/>
      <c r="S32" s="79"/>
      <c r="T32" s="79"/>
      <c r="AB32" s="78"/>
      <c r="AD32" s="75" t="s">
        <v>152</v>
      </c>
    </row>
    <row r="33" spans="1:28" s="141" customFormat="1" x14ac:dyDescent="0.2">
      <c r="B33" s="142" t="s">
        <v>145</v>
      </c>
      <c r="E33" s="143"/>
      <c r="G33" s="143"/>
      <c r="I33" s="143"/>
      <c r="K33" s="143"/>
      <c r="M33" s="143"/>
      <c r="O33" s="143"/>
      <c r="Q33" s="143"/>
      <c r="S33" s="141">
        <f t="shared" ref="S33:X33" si="60">SUM(S34:S36)</f>
        <v>0</v>
      </c>
      <c r="T33" s="141">
        <f t="shared" si="60"/>
        <v>0</v>
      </c>
      <c r="U33" s="141">
        <f t="shared" si="60"/>
        <v>0</v>
      </c>
      <c r="V33" s="141">
        <f t="shared" si="60"/>
        <v>0</v>
      </c>
      <c r="W33" s="141">
        <f t="shared" si="60"/>
        <v>0</v>
      </c>
      <c r="X33" s="141">
        <f t="shared" si="60"/>
        <v>1787</v>
      </c>
      <c r="Y33" s="141">
        <f>SUM(Y34:Y36)</f>
        <v>2530</v>
      </c>
      <c r="Z33" s="141">
        <f>SUM(Z34:Z36)</f>
        <v>2787</v>
      </c>
      <c r="AB33" s="144"/>
    </row>
    <row r="34" spans="1:28" s="145" customFormat="1" x14ac:dyDescent="0.2">
      <c r="B34" s="146" t="s">
        <v>146</v>
      </c>
      <c r="E34" s="147"/>
      <c r="G34" s="147"/>
      <c r="I34" s="147"/>
      <c r="K34" s="147"/>
      <c r="M34" s="147"/>
      <c r="O34" s="147"/>
      <c r="Q34" s="147"/>
      <c r="X34" s="145">
        <v>6</v>
      </c>
      <c r="Y34" s="145">
        <v>7</v>
      </c>
      <c r="Z34" s="145">
        <v>7</v>
      </c>
      <c r="AB34" s="148"/>
    </row>
    <row r="35" spans="1:28" s="145" customFormat="1" x14ac:dyDescent="0.2">
      <c r="B35" s="146" t="s">
        <v>147</v>
      </c>
      <c r="E35" s="147"/>
      <c r="G35" s="147"/>
      <c r="I35" s="147"/>
      <c r="K35" s="147"/>
      <c r="M35" s="147"/>
      <c r="O35" s="147"/>
      <c r="Q35" s="147"/>
      <c r="X35" s="145">
        <v>58</v>
      </c>
      <c r="Y35" s="145">
        <v>91</v>
      </c>
      <c r="Z35" s="145">
        <v>112</v>
      </c>
      <c r="AB35" s="148"/>
    </row>
    <row r="36" spans="1:28" s="149" customFormat="1" x14ac:dyDescent="0.2">
      <c r="B36" s="146" t="s">
        <v>148</v>
      </c>
      <c r="E36" s="150"/>
      <c r="G36" s="150"/>
      <c r="I36" s="150"/>
      <c r="K36" s="150"/>
      <c r="M36" s="150"/>
      <c r="O36" s="150"/>
      <c r="Q36" s="150"/>
      <c r="X36" s="149">
        <v>1723</v>
      </c>
      <c r="Y36" s="149">
        <v>2432</v>
      </c>
      <c r="Z36" s="149">
        <v>2668</v>
      </c>
      <c r="AB36" s="148"/>
    </row>
    <row r="38" spans="1:28" x14ac:dyDescent="0.2">
      <c r="B38" s="29" t="s">
        <v>48</v>
      </c>
    </row>
    <row r="39" spans="1:28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P39" s="14">
        <v>91.209000000000003</v>
      </c>
      <c r="X39" s="14">
        <v>49.036000000000001</v>
      </c>
      <c r="Y39" s="14">
        <v>68.641000000000005</v>
      </c>
      <c r="Z39" s="14">
        <v>78.278999999999996</v>
      </c>
      <c r="AA39" s="14"/>
      <c r="AB39" s="133"/>
    </row>
    <row r="40" spans="1:28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P40" s="14">
        <v>160.84</v>
      </c>
      <c r="X40" s="14">
        <v>132.34200000000001</v>
      </c>
      <c r="Y40" s="14">
        <v>147.45500000000001</v>
      </c>
      <c r="Z40" s="14">
        <v>150.81100000000001</v>
      </c>
      <c r="AA40" s="14"/>
      <c r="AB40" s="133"/>
    </row>
    <row r="41" spans="1:28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P41" s="14">
        <v>94.15</v>
      </c>
      <c r="X41" s="14">
        <v>77.947999999999993</v>
      </c>
      <c r="Y41" s="14">
        <v>81.793999999999997</v>
      </c>
      <c r="Z41" s="14">
        <v>89.376000000000005</v>
      </c>
      <c r="AA41" s="14"/>
      <c r="AB41" s="133"/>
    </row>
    <row r="42" spans="1:28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P42" s="14">
        <v>0.13100000000000001</v>
      </c>
      <c r="X42" s="14">
        <v>6.29</v>
      </c>
      <c r="Y42" s="14">
        <v>1.647</v>
      </c>
      <c r="Z42" s="14">
        <v>1.3089999999999999</v>
      </c>
      <c r="AA42" s="14"/>
      <c r="AB42" s="133"/>
    </row>
    <row r="43" spans="1:28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P43" s="14">
        <f>SUM(P39:P42)</f>
        <v>346.33</v>
      </c>
      <c r="X43" s="14">
        <f>SUM(X39:X42)</f>
        <v>265.61600000000004</v>
      </c>
      <c r="Y43" s="14">
        <f>SUM(Y39:Y42)</f>
        <v>299.53699999999998</v>
      </c>
      <c r="Z43" s="14">
        <f>SUM(Z39:Z42)</f>
        <v>319.77500000000003</v>
      </c>
      <c r="AA43" s="14"/>
      <c r="AB43" s="133"/>
    </row>
    <row r="44" spans="1:28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61"/>
      <c r="P44" s="12">
        <v>41.404000000000003</v>
      </c>
      <c r="Q44" s="61"/>
      <c r="X44" s="12">
        <v>29.942</v>
      </c>
      <c r="Y44" s="12">
        <v>56.066000000000003</v>
      </c>
      <c r="Z44" s="12">
        <v>52.454999999999998</v>
      </c>
      <c r="AA44" s="12"/>
      <c r="AB44" s="132"/>
    </row>
    <row r="45" spans="1:28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P45" s="14">
        <v>9.2129999999999992</v>
      </c>
      <c r="X45" s="14">
        <v>3.3</v>
      </c>
      <c r="Y45" s="14">
        <v>5.13</v>
      </c>
      <c r="Z45" s="14">
        <v>8.1159999999999997</v>
      </c>
      <c r="AA45" s="14"/>
      <c r="AB45" s="133"/>
    </row>
    <row r="46" spans="1:28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P46" s="14">
        <v>0</v>
      </c>
      <c r="X46" s="14">
        <v>0.65</v>
      </c>
      <c r="Y46" s="14">
        <v>0.27100000000000002</v>
      </c>
      <c r="Z46" s="14">
        <v>0.71499999999999997</v>
      </c>
      <c r="AA46" s="14"/>
      <c r="AB46" s="133"/>
    </row>
    <row r="47" spans="1:28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P47" s="14">
        <v>2.8980000000000001</v>
      </c>
      <c r="X47" s="14">
        <v>1.4610000000000001</v>
      </c>
      <c r="Y47" s="14">
        <v>2.1480000000000001</v>
      </c>
      <c r="Z47" s="14">
        <v>2.4449999999999998</v>
      </c>
      <c r="AA47" s="14"/>
      <c r="AB47" s="133"/>
    </row>
    <row r="48" spans="1:28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P48" s="14">
        <f>P43+P44+P45+P46+P47</f>
        <v>399.84500000000003</v>
      </c>
      <c r="X48" s="14">
        <f>SUM(X44:X47)+X43</f>
        <v>300.96900000000005</v>
      </c>
      <c r="Y48" s="14">
        <f>SUM(Y44:Y47)+Y43</f>
        <v>363.15199999999999</v>
      </c>
      <c r="Z48" s="14">
        <f>SUM(Z44:Z47)+Z43</f>
        <v>383.50600000000003</v>
      </c>
      <c r="AA48" s="14"/>
      <c r="AB48" s="133"/>
    </row>
    <row r="49" spans="1:28" x14ac:dyDescent="0.2">
      <c r="H49" s="14"/>
      <c r="L49" s="14"/>
      <c r="M49" s="31"/>
    </row>
    <row r="50" spans="1:28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P50" s="14">
        <v>29.574000000000002</v>
      </c>
      <c r="X50" s="14">
        <v>18.141999999999999</v>
      </c>
      <c r="Y50" s="14">
        <v>28.681000000000001</v>
      </c>
      <c r="Z50" s="14">
        <v>29.109000000000002</v>
      </c>
      <c r="AA50" s="14"/>
      <c r="AB50" s="133"/>
    </row>
    <row r="51" spans="1:28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P51" s="14">
        <v>12.964</v>
      </c>
      <c r="X51" s="14">
        <v>13.811</v>
      </c>
      <c r="Y51" s="14">
        <v>11.557</v>
      </c>
      <c r="Z51" s="14">
        <v>12.553000000000001</v>
      </c>
      <c r="AA51" s="14"/>
      <c r="AB51" s="133"/>
    </row>
    <row r="52" spans="1:28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P52" s="14">
        <v>0.79900000000000004</v>
      </c>
      <c r="X52" s="14">
        <v>0</v>
      </c>
      <c r="Y52" s="14">
        <v>0</v>
      </c>
      <c r="Z52" s="14">
        <v>0</v>
      </c>
      <c r="AA52" s="14"/>
      <c r="AB52" s="133"/>
    </row>
    <row r="53" spans="1:28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61"/>
      <c r="P53" s="12">
        <v>0</v>
      </c>
      <c r="Q53" s="61"/>
      <c r="X53" s="12">
        <v>0</v>
      </c>
      <c r="Y53" s="12">
        <v>0</v>
      </c>
      <c r="Z53" s="12">
        <v>0</v>
      </c>
      <c r="AA53" s="12"/>
      <c r="AB53" s="132"/>
    </row>
    <row r="54" spans="1:28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P54" s="14">
        <f>SUM(P50:P53)</f>
        <v>43.337000000000003</v>
      </c>
      <c r="X54" s="14">
        <f>SUM(X50:X53)</f>
        <v>31.952999999999999</v>
      </c>
      <c r="Y54" s="14">
        <f>SUM(Y50:Y53)</f>
        <v>40.238</v>
      </c>
      <c r="Z54" s="14">
        <f>SUM(Z50:Z53)</f>
        <v>41.662000000000006</v>
      </c>
      <c r="AA54" s="14"/>
      <c r="AB54" s="133"/>
    </row>
    <row r="55" spans="1:28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P55" s="14">
        <v>6.2370000000000001</v>
      </c>
      <c r="X55" s="14">
        <v>0.56499999999999995</v>
      </c>
      <c r="Y55" s="14">
        <v>3</v>
      </c>
      <c r="Z55" s="14">
        <v>5.2080000000000002</v>
      </c>
      <c r="AA55" s="14"/>
      <c r="AB55" s="133"/>
    </row>
    <row r="56" spans="1:28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P56" s="14">
        <v>192.09</v>
      </c>
      <c r="X56" s="14">
        <v>160.12899999999999</v>
      </c>
      <c r="Y56" s="14">
        <v>176.81200000000001</v>
      </c>
      <c r="Z56" s="14">
        <v>181.65199999999999</v>
      </c>
      <c r="AA56" s="14"/>
      <c r="AB56" s="133"/>
    </row>
    <row r="57" spans="1:28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61"/>
      <c r="P57" s="12">
        <v>0</v>
      </c>
      <c r="Q57" s="61"/>
      <c r="X57" s="12">
        <v>0</v>
      </c>
      <c r="Y57" s="12">
        <v>0</v>
      </c>
      <c r="Z57" s="12">
        <v>1.96</v>
      </c>
      <c r="AA57" s="12"/>
      <c r="AB57" s="132"/>
    </row>
    <row r="58" spans="1:28" s="14" customFormat="1" x14ac:dyDescent="0.2">
      <c r="B58" s="14" t="s">
        <v>52</v>
      </c>
      <c r="E58" s="31"/>
      <c r="G58" s="31"/>
      <c r="H58" s="14">
        <v>0</v>
      </c>
      <c r="I58" s="31"/>
      <c r="K58" s="31"/>
      <c r="L58" s="14">
        <v>0</v>
      </c>
      <c r="M58" s="31"/>
      <c r="N58" s="14">
        <v>0</v>
      </c>
      <c r="O58" s="31"/>
      <c r="P58" s="14">
        <v>1.655</v>
      </c>
      <c r="Q58" s="31"/>
      <c r="X58" s="14">
        <v>0</v>
      </c>
      <c r="Y58" s="14">
        <v>0</v>
      </c>
      <c r="Z58" s="14">
        <v>0</v>
      </c>
      <c r="AB58" s="133"/>
    </row>
    <row r="59" spans="1:28" x14ac:dyDescent="0.2">
      <c r="A59" s="3"/>
      <c r="B59" s="1" t="s">
        <v>63</v>
      </c>
      <c r="H59" s="14">
        <v>3.8029999999999999</v>
      </c>
      <c r="L59" s="14">
        <v>3.7690000000000001</v>
      </c>
      <c r="M59" s="31"/>
      <c r="N59" s="1">
        <v>5.2969999999999997</v>
      </c>
      <c r="P59" s="14">
        <v>5.6520000000000001</v>
      </c>
      <c r="X59" s="14">
        <v>3.6349999999999998</v>
      </c>
      <c r="Y59" s="14">
        <v>4.6820000000000004</v>
      </c>
      <c r="Z59" s="14">
        <v>5.0839999999999996</v>
      </c>
      <c r="AA59" s="14"/>
      <c r="AB59" s="133"/>
    </row>
    <row r="60" spans="1:28" x14ac:dyDescent="0.2">
      <c r="B60" s="1" t="s">
        <v>64</v>
      </c>
      <c r="H60" s="14">
        <f>H54+H55+H56+H57+H59+H58</f>
        <v>222.46</v>
      </c>
      <c r="L60" s="14">
        <f>L54+L55+L56+L57+L59+L58</f>
        <v>200.65600000000001</v>
      </c>
      <c r="M60" s="31"/>
      <c r="N60" s="14">
        <f>N54+N55+N56+N57+N59+N58</f>
        <v>227.54899999999998</v>
      </c>
      <c r="P60" s="14">
        <f>P54+P55+P56+P57+P59+P58</f>
        <v>248.971</v>
      </c>
      <c r="X60" s="14">
        <f t="shared" ref="X60:Z60" si="61">X54+X55+X56+X57+X59+X58</f>
        <v>196.28199999999998</v>
      </c>
      <c r="Y60" s="14">
        <f t="shared" si="61"/>
        <v>224.732</v>
      </c>
      <c r="Z60" s="14">
        <f t="shared" si="61"/>
        <v>235.566</v>
      </c>
      <c r="AA60" s="14"/>
      <c r="AB60" s="133"/>
    </row>
    <row r="61" spans="1:28" x14ac:dyDescent="0.2">
      <c r="H61" s="14"/>
    </row>
    <row r="62" spans="1:28" x14ac:dyDescent="0.2">
      <c r="B62" s="1" t="s">
        <v>65</v>
      </c>
      <c r="H62" s="14">
        <v>75.83</v>
      </c>
      <c r="L62" s="14">
        <v>132.125</v>
      </c>
      <c r="M62" s="31"/>
      <c r="N62" s="14">
        <v>139.387</v>
      </c>
      <c r="P62" s="14">
        <v>150.874</v>
      </c>
      <c r="X62" s="14">
        <v>104.687</v>
      </c>
      <c r="Y62" s="14">
        <v>138.41999999999999</v>
      </c>
      <c r="Z62" s="14">
        <v>147.94</v>
      </c>
      <c r="AA62" s="14"/>
      <c r="AB62" s="133"/>
    </row>
    <row r="63" spans="1:28" x14ac:dyDescent="0.2">
      <c r="B63" s="1" t="s">
        <v>66</v>
      </c>
      <c r="H63" s="14">
        <f>H60+H62</f>
        <v>298.29000000000002</v>
      </c>
      <c r="L63" s="14">
        <f>L60+L62</f>
        <v>332.78100000000001</v>
      </c>
      <c r="M63" s="31"/>
      <c r="N63" s="14">
        <f>N60+N62</f>
        <v>366.93599999999998</v>
      </c>
      <c r="P63" s="14">
        <f>P60+P62</f>
        <v>399.84500000000003</v>
      </c>
      <c r="X63" s="14">
        <f>X62+X60</f>
        <v>300.96899999999999</v>
      </c>
      <c r="Y63" s="14">
        <f>Y62+Y60</f>
        <v>363.15199999999999</v>
      </c>
      <c r="Z63" s="14">
        <f>Z62+Z60</f>
        <v>383.50599999999997</v>
      </c>
      <c r="AA63" s="14"/>
      <c r="AB63" s="133"/>
    </row>
    <row r="65" spans="1:28" x14ac:dyDescent="0.2">
      <c r="B65" s="1" t="s">
        <v>131</v>
      </c>
      <c r="H65" s="14">
        <f>H48-H60</f>
        <v>75.831000000000103</v>
      </c>
      <c r="L65" s="14">
        <f>L48-L60</f>
        <v>132.12499999999994</v>
      </c>
      <c r="M65" s="31"/>
      <c r="N65" s="14">
        <f>N48-N60</f>
        <v>139.36000000000001</v>
      </c>
      <c r="P65" s="14">
        <f>P48-P60</f>
        <v>150.87400000000002</v>
      </c>
      <c r="X65" s="14">
        <f t="shared" ref="X65:Y65" si="62">X48-X60</f>
        <v>104.68700000000007</v>
      </c>
      <c r="Y65" s="14">
        <f t="shared" si="62"/>
        <v>138.41999999999999</v>
      </c>
      <c r="Z65" s="14">
        <f t="shared" ref="Z65" si="63">Z48-Z60</f>
        <v>147.94000000000003</v>
      </c>
      <c r="AA65" s="14"/>
      <c r="AB65" s="133"/>
    </row>
    <row r="66" spans="1:28" x14ac:dyDescent="0.2">
      <c r="A66" s="3"/>
      <c r="B66" s="1" t="s">
        <v>132</v>
      </c>
      <c r="H66" s="1">
        <f>H65/H14</f>
        <v>0.50318915060727853</v>
      </c>
      <c r="L66" s="1">
        <f>L65/L14</f>
        <v>0.77343526713555533</v>
      </c>
      <c r="N66" s="1">
        <f>N65/N14</f>
        <v>0.81391234576365445</v>
      </c>
      <c r="P66" s="1">
        <f>P65/P14</f>
        <v>0.87219211748034853</v>
      </c>
      <c r="X66" s="1">
        <f t="shared" ref="X66:Y66" si="64">X65/X14</f>
        <v>0.63597840274765649</v>
      </c>
      <c r="Y66" s="1">
        <f t="shared" si="64"/>
        <v>0.80971382354881549</v>
      </c>
      <c r="Z66" s="1">
        <f t="shared" ref="Z66" si="65">Z65/Z14</f>
        <v>0.86278472172836618</v>
      </c>
    </row>
    <row r="68" spans="1:28" x14ac:dyDescent="0.2">
      <c r="B68" s="1" t="s">
        <v>6</v>
      </c>
      <c r="H68" s="14">
        <f t="shared" ref="H68" si="66">H44</f>
        <v>15.635999999999999</v>
      </c>
      <c r="L68" s="14">
        <f t="shared" ref="L68:N68" si="67">L44</f>
        <v>49.576999999999998</v>
      </c>
      <c r="N68" s="14">
        <f t="shared" si="67"/>
        <v>44.149000000000001</v>
      </c>
      <c r="P68" s="14">
        <f t="shared" ref="P68" si="68">P44</f>
        <v>41.404000000000003</v>
      </c>
      <c r="X68" s="14">
        <f t="shared" ref="X68" si="69">X44</f>
        <v>29.942</v>
      </c>
      <c r="Y68" s="14">
        <f>Y44</f>
        <v>56.066000000000003</v>
      </c>
      <c r="Z68" s="14">
        <f t="shared" ref="Z68" si="70">Z44</f>
        <v>52.454999999999998</v>
      </c>
      <c r="AA68" s="14"/>
      <c r="AB68" s="133"/>
    </row>
    <row r="69" spans="1:28" x14ac:dyDescent="0.2">
      <c r="B69" s="1" t="s">
        <v>7</v>
      </c>
      <c r="H69" s="14">
        <f t="shared" ref="H69" si="71">H53+H57</f>
        <v>30.073</v>
      </c>
      <c r="L69" s="14">
        <f t="shared" ref="L69:N69" si="72">L53+L57</f>
        <v>0</v>
      </c>
      <c r="N69" s="14">
        <f t="shared" si="72"/>
        <v>0</v>
      </c>
      <c r="P69" s="14">
        <f t="shared" ref="P69" si="73">P53+P57</f>
        <v>0</v>
      </c>
      <c r="X69" s="14">
        <f t="shared" ref="X69" si="74">X53+X57</f>
        <v>0</v>
      </c>
      <c r="Y69" s="14">
        <f>Y53+Y57</f>
        <v>0</v>
      </c>
      <c r="Z69" s="14">
        <f t="shared" ref="Z69" si="75">Z53+Z57</f>
        <v>1.96</v>
      </c>
      <c r="AA69" s="14"/>
      <c r="AB69" s="133"/>
    </row>
    <row r="70" spans="1:28" x14ac:dyDescent="0.2">
      <c r="B70" s="1" t="s">
        <v>8</v>
      </c>
      <c r="H70" s="14">
        <f>H68-H69</f>
        <v>-14.437000000000001</v>
      </c>
      <c r="L70" s="14">
        <f>L68-L69</f>
        <v>49.576999999999998</v>
      </c>
      <c r="N70" s="14">
        <f>N68-N69</f>
        <v>44.149000000000001</v>
      </c>
      <c r="P70" s="14">
        <f>P68-P69</f>
        <v>41.404000000000003</v>
      </c>
      <c r="X70" s="14">
        <f>X68-X69</f>
        <v>29.942</v>
      </c>
      <c r="Y70" s="14">
        <f>Y68-Y69</f>
        <v>56.066000000000003</v>
      </c>
      <c r="Z70" s="14">
        <f t="shared" ref="Z70" si="76">Z68-Z69</f>
        <v>50.494999999999997</v>
      </c>
      <c r="AA70" s="14"/>
      <c r="AB70" s="133"/>
    </row>
    <row r="72" spans="1:28" x14ac:dyDescent="0.2">
      <c r="B72" s="1" t="s">
        <v>140</v>
      </c>
      <c r="H72" s="1">
        <v>1.4767999999999999</v>
      </c>
      <c r="L72" s="1">
        <v>2.3904999999999998</v>
      </c>
      <c r="N72" s="1">
        <v>2.3014000000000001</v>
      </c>
      <c r="P72" s="1">
        <v>3.2949999999999999</v>
      </c>
      <c r="S72" s="1">
        <v>1.4937</v>
      </c>
      <c r="T72" s="1">
        <v>1.6520999999999999</v>
      </c>
      <c r="U72" s="1">
        <v>2.0512999999999999</v>
      </c>
      <c r="V72" s="1">
        <v>2.1863999999999999</v>
      </c>
      <c r="W72" s="1">
        <v>1.2907999999999999</v>
      </c>
      <c r="X72" s="1">
        <v>2.395</v>
      </c>
      <c r="Y72" s="1">
        <v>1.8740000000000001</v>
      </c>
      <c r="Z72" s="1">
        <v>2.4750000000000001</v>
      </c>
    </row>
    <row r="73" spans="1:28" x14ac:dyDescent="0.2">
      <c r="B73" s="1" t="s">
        <v>5</v>
      </c>
      <c r="H73" s="27">
        <f t="shared" ref="H73" si="77">H72*H14</f>
        <v>222.55491928799998</v>
      </c>
      <c r="L73" s="27">
        <f t="shared" ref="L73:N73" si="78">L72*L14</f>
        <v>408.36618902800001</v>
      </c>
      <c r="N73" s="27">
        <f t="shared" si="78"/>
        <v>394.05116001659997</v>
      </c>
      <c r="P73" s="27">
        <f t="shared" ref="P73" si="79">P72*P14</f>
        <v>569.977439645</v>
      </c>
      <c r="S73" s="27">
        <f t="shared" ref="S73:W73" si="80">S72*S14</f>
        <v>158.09794302899999</v>
      </c>
      <c r="T73" s="27">
        <f t="shared" si="80"/>
        <v>247.815</v>
      </c>
      <c r="U73" s="27">
        <f t="shared" si="80"/>
        <v>307.69499999999999</v>
      </c>
      <c r="V73" s="27">
        <f t="shared" si="80"/>
        <v>327.96</v>
      </c>
      <c r="W73" s="27">
        <f t="shared" si="80"/>
        <v>198.01083562119999</v>
      </c>
      <c r="X73" s="27">
        <f t="shared" ref="X73" si="81">X72*X14</f>
        <v>394.23565944500001</v>
      </c>
      <c r="Y73" s="27">
        <f>Y72*Y14</f>
        <v>320.358961964</v>
      </c>
      <c r="Z73" s="27">
        <f t="shared" ref="Z73" si="82">Z72*Z14</f>
        <v>424.38338414999998</v>
      </c>
      <c r="AA73" s="27"/>
      <c r="AB73" s="134"/>
    </row>
    <row r="74" spans="1:28" x14ac:dyDescent="0.2">
      <c r="B74" s="1" t="s">
        <v>9</v>
      </c>
      <c r="H74" s="27">
        <f>H73-H70</f>
        <v>236.99191928799999</v>
      </c>
      <c r="L74" s="27">
        <f>L73-L70</f>
        <v>358.78918902800001</v>
      </c>
      <c r="N74" s="27">
        <f>N73-N70</f>
        <v>349.90216001659996</v>
      </c>
      <c r="P74" s="27">
        <f>P73-P70</f>
        <v>528.57343964500001</v>
      </c>
      <c r="S74" s="27"/>
      <c r="T74" s="27"/>
      <c r="U74" s="27"/>
      <c r="V74" s="27"/>
      <c r="W74" s="27"/>
      <c r="X74" s="27">
        <f>X73-X70</f>
        <v>364.293659445</v>
      </c>
      <c r="Y74" s="27">
        <f>Y73-Y70</f>
        <v>264.29296196400003</v>
      </c>
      <c r="Z74" s="27">
        <f t="shared" ref="Z74" si="83">Z73-Z70</f>
        <v>373.88838414999998</v>
      </c>
      <c r="AA74" s="27"/>
      <c r="AB74" s="134"/>
    </row>
    <row r="76" spans="1:28" s="92" customFormat="1" x14ac:dyDescent="0.2">
      <c r="B76" s="92" t="s">
        <v>134</v>
      </c>
      <c r="E76" s="93"/>
      <c r="G76" s="93"/>
      <c r="H76" s="92">
        <f>H72/H66</f>
        <v>2.9348804484709379</v>
      </c>
      <c r="I76" s="93"/>
      <c r="K76" s="93"/>
      <c r="L76" s="92">
        <f>L72/L66</f>
        <v>3.0907563975629149</v>
      </c>
      <c r="M76" s="93"/>
      <c r="N76" s="92">
        <f>N72/N66</f>
        <v>2.827577210222445</v>
      </c>
      <c r="O76" s="93"/>
      <c r="P76" s="92">
        <f>P72/P66</f>
        <v>3.7778373983920348</v>
      </c>
      <c r="Q76" s="93"/>
      <c r="X76" s="92">
        <f t="shared" ref="X76" si="84">X72/X66</f>
        <v>3.7658511510025101</v>
      </c>
      <c r="Y76" s="92">
        <f>Y72/Y66</f>
        <v>2.3143979335645142</v>
      </c>
      <c r="Z76" s="92">
        <f t="shared" ref="Z76" si="85">Z72/Z66</f>
        <v>2.8686182516560761</v>
      </c>
      <c r="AB76" s="140"/>
    </row>
    <row r="77" spans="1:28" s="95" customFormat="1" x14ac:dyDescent="0.2">
      <c r="A77" s="94"/>
      <c r="B77" s="95" t="s">
        <v>135</v>
      </c>
      <c r="E77" s="96"/>
      <c r="G77" s="96"/>
      <c r="I77" s="96"/>
      <c r="K77" s="96"/>
      <c r="M77" s="96"/>
      <c r="O77" s="96"/>
      <c r="Q77" s="96"/>
      <c r="S77" s="92">
        <f t="shared" ref="S77:W77" si="86">S73/S3</f>
        <v>1.5085249757068022</v>
      </c>
      <c r="T77" s="92">
        <f t="shared" si="86"/>
        <v>2.174426154710094</v>
      </c>
      <c r="U77" s="92">
        <f t="shared" si="86"/>
        <v>2.552468726150579</v>
      </c>
      <c r="V77" s="92">
        <f t="shared" si="86"/>
        <v>2.5248279366252482</v>
      </c>
      <c r="W77" s="92">
        <f t="shared" si="86"/>
        <v>2.4915485211480628</v>
      </c>
      <c r="X77" s="92">
        <f t="shared" ref="X77" si="87">X73/X3</f>
        <v>5.4847889402181478</v>
      </c>
      <c r="Y77" s="92">
        <f>Y73/Y3</f>
        <v>1.6535424198491799</v>
      </c>
      <c r="Z77" s="92">
        <f t="shared" ref="Z77" si="88">Z73/Z3</f>
        <v>1.9731236651602644</v>
      </c>
      <c r="AA77" s="92"/>
      <c r="AB77" s="140"/>
    </row>
    <row r="78" spans="1:28" x14ac:dyDescent="0.2">
      <c r="B78" s="1" t="s">
        <v>141</v>
      </c>
      <c r="X78" s="92">
        <f t="shared" ref="X78" si="89">X74/X3</f>
        <v>5.0682219795347674</v>
      </c>
      <c r="Y78" s="92">
        <f>Y74/Y3</f>
        <v>1.3641560741608643</v>
      </c>
      <c r="Z78" s="92">
        <f t="shared" ref="Z78" si="90">Z74/Z3</f>
        <v>1.7383527405826615</v>
      </c>
      <c r="AA78" s="92"/>
      <c r="AB78" s="140"/>
    </row>
    <row r="79" spans="1:28" x14ac:dyDescent="0.2">
      <c r="B79" s="1" t="s">
        <v>136</v>
      </c>
      <c r="P79" s="92">
        <f>P72/SUM(O13:P13)</f>
        <v>16.624188566150199</v>
      </c>
      <c r="S79" s="92">
        <f t="shared" ref="S79:W79" si="91">S72/S13</f>
        <v>133.19119042038895</v>
      </c>
      <c r="T79" s="92">
        <f t="shared" si="91"/>
        <v>13.652214631996477</v>
      </c>
      <c r="U79" s="92">
        <f t="shared" si="91"/>
        <v>16.380696337308347</v>
      </c>
      <c r="V79" s="92">
        <f t="shared" si="91"/>
        <v>14.71662553286964</v>
      </c>
      <c r="W79" s="92">
        <f t="shared" si="91"/>
        <v>142.9681123618769</v>
      </c>
      <c r="X79" s="92">
        <f t="shared" ref="X79" si="92">X72/X13</f>
        <v>228.14563625289284</v>
      </c>
      <c r="Y79" s="92">
        <f>Y72/Y13</f>
        <v>8.554082987476967</v>
      </c>
      <c r="Z79" s="92">
        <f t="shared" ref="Z79" si="93">Z72/Z13</f>
        <v>12.426675182278707</v>
      </c>
      <c r="AA79" s="92"/>
      <c r="AB79" s="140"/>
    </row>
    <row r="80" spans="1:28" x14ac:dyDescent="0.2">
      <c r="B80" s="1" t="s">
        <v>142</v>
      </c>
      <c r="X80" s="92">
        <f t="shared" ref="X80" si="94">X74/X12</f>
        <v>210.81808995659659</v>
      </c>
      <c r="Y80" s="92">
        <f>Y74/Y12</f>
        <v>7.0570335094924017</v>
      </c>
      <c r="Z80" s="92">
        <f t="shared" ref="Z80" si="95">Z74/Z12</f>
        <v>10.948094760036312</v>
      </c>
      <c r="AA80" s="92"/>
      <c r="AB80" s="140"/>
    </row>
    <row r="81" spans="1:2" x14ac:dyDescent="0.2">
      <c r="B81" s="1" t="s">
        <v>143</v>
      </c>
    </row>
    <row r="84" spans="1:2" x14ac:dyDescent="0.2">
      <c r="A84" s="3"/>
    </row>
    <row r="85" spans="1:2" x14ac:dyDescent="0.2">
      <c r="A85" s="3"/>
    </row>
  </sheetData>
  <hyperlinks>
    <hyperlink ref="L1" r:id="rId1" xr:uid="{B9683B42-B241-4D1D-8CE0-7A17859DA76B}"/>
    <hyperlink ref="X1" r:id="rId2" xr:uid="{05878C96-F10F-4982-ACE4-FF132CF4E29A}"/>
    <hyperlink ref="V1" r:id="rId3" xr:uid="{6765EA13-C896-4C06-BD01-2D2BC5D2014C}"/>
    <hyperlink ref="H1" r:id="rId4" xr:uid="{D3D9ED60-186F-274D-93DB-4D868CA2340E}"/>
    <hyperlink ref="T1" r:id="rId5" xr:uid="{9260496C-E59A-0143-BDFB-5C62E2643276}"/>
    <hyperlink ref="Y1" r:id="rId6" xr:uid="{D7D97D6D-2030-4F4C-B5FB-6BFE0FD9DC61}"/>
    <hyperlink ref="N1" r:id="rId7" xr:uid="{FC756CF2-3D82-4D5D-9DD4-F7502A0327A9}"/>
    <hyperlink ref="Z1" r:id="rId8" xr:uid="{F32AE00E-F68C-4DC8-A21B-34B62D129557}"/>
    <hyperlink ref="AA1" r:id="rId9" xr:uid="{B35589E2-4FBF-4BF6-992E-28697F9BA04E}"/>
  </hyperlinks>
  <pageMargins left="0.7" right="0.7" top="0.75" bottom="0.75" header="0.3" footer="0.3"/>
  <pageSetup paperSize="256" orientation="portrait" horizontalDpi="203" verticalDpi="203" r:id="rId10"/>
  <ignoredErrors>
    <ignoredError sqref="K5 K8 K10:K11 I10:I11 I8 I5 G12 G10 G8 G5 M5:M13 AB12 AC11:AQ11 O5:O11" formula="1"/>
    <ignoredError sqref="AB6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4"/>
    <col min="3" max="17" width="9.140625" style="1"/>
    <col min="18" max="18" width="9.140625" style="114"/>
    <col min="19" max="16384" width="9.140625" style="1"/>
  </cols>
  <sheetData>
    <row r="1" spans="1:18" x14ac:dyDescent="0.2">
      <c r="A1" s="24" t="s">
        <v>19</v>
      </c>
      <c r="B1" s="98" t="s">
        <v>19</v>
      </c>
      <c r="Q1" s="28" t="s">
        <v>23</v>
      </c>
      <c r="R1" s="115" t="s">
        <v>23</v>
      </c>
    </row>
    <row r="2" spans="1:18" x14ac:dyDescent="0.2">
      <c r="A2" s="35">
        <v>44834</v>
      </c>
      <c r="B2" s="99" t="s">
        <v>67</v>
      </c>
      <c r="Q2" s="22">
        <v>44834</v>
      </c>
      <c r="R2" s="116" t="s">
        <v>67</v>
      </c>
    </row>
    <row r="3" spans="1:18" x14ac:dyDescent="0.2">
      <c r="A3" s="30">
        <v>93.568000000000012</v>
      </c>
      <c r="B3" s="100">
        <v>158.58780000000002</v>
      </c>
      <c r="Q3" s="12">
        <v>193.74100000000001</v>
      </c>
      <c r="R3" s="117">
        <v>258.76080000000002</v>
      </c>
    </row>
    <row r="4" spans="1:18" x14ac:dyDescent="0.2">
      <c r="A4" s="31">
        <v>15.750999999999999</v>
      </c>
      <c r="B4" s="101">
        <v>22.585512000000008</v>
      </c>
      <c r="Q4" s="14">
        <v>29.391999999999999</v>
      </c>
      <c r="R4" s="118">
        <v>36.226512000000007</v>
      </c>
    </row>
    <row r="5" spans="1:18" x14ac:dyDescent="0.2">
      <c r="A5" s="30">
        <v>77.817000000000007</v>
      </c>
      <c r="B5" s="102">
        <v>136.00228800000002</v>
      </c>
      <c r="Q5" s="12">
        <v>164.34900000000002</v>
      </c>
      <c r="R5" s="119">
        <v>222.534288</v>
      </c>
    </row>
    <row r="6" spans="1:18" x14ac:dyDescent="0.2">
      <c r="A6" s="31">
        <v>3.9E-2</v>
      </c>
      <c r="B6" s="101">
        <v>0.4</v>
      </c>
      <c r="Q6" s="14">
        <v>3.9E-2</v>
      </c>
      <c r="R6" s="114">
        <v>0.4</v>
      </c>
    </row>
    <row r="7" spans="1:18" x14ac:dyDescent="0.2">
      <c r="A7" s="31">
        <v>60.022999999999996</v>
      </c>
      <c r="B7" s="101">
        <v>84.6045728</v>
      </c>
      <c r="Q7" s="14">
        <v>108.93899999999999</v>
      </c>
      <c r="R7" s="118">
        <v>133.5205728</v>
      </c>
    </row>
    <row r="8" spans="1:18" x14ac:dyDescent="0.2">
      <c r="A8" s="30">
        <v>17.833000000000013</v>
      </c>
      <c r="B8" s="102">
        <v>51.797715200000027</v>
      </c>
      <c r="Q8" s="12">
        <v>55.449000000000012</v>
      </c>
      <c r="R8" s="119">
        <v>89.413715200000013</v>
      </c>
    </row>
    <row r="9" spans="1:18" x14ac:dyDescent="0.2">
      <c r="A9" s="31">
        <v>4.6049999999999986</v>
      </c>
      <c r="B9" s="101">
        <v>-1.0790000000000002</v>
      </c>
      <c r="Q9" s="14">
        <v>8.7839999999999989</v>
      </c>
      <c r="R9" s="118">
        <v>3.1</v>
      </c>
    </row>
    <row r="10" spans="1:18" x14ac:dyDescent="0.2">
      <c r="A10" s="31">
        <v>13.228000000000014</v>
      </c>
      <c r="B10" s="103">
        <v>52.876715200000028</v>
      </c>
      <c r="Q10" s="14">
        <v>46.665000000000013</v>
      </c>
      <c r="R10" s="120">
        <v>86.313715200000019</v>
      </c>
    </row>
    <row r="11" spans="1:18" x14ac:dyDescent="0.2">
      <c r="A11" s="31">
        <v>2.8020000000000005</v>
      </c>
      <c r="B11" s="101">
        <v>3.9384320000000015</v>
      </c>
      <c r="Q11" s="14">
        <v>9.2140000000000004</v>
      </c>
      <c r="R11" s="118">
        <v>10.350432000000001</v>
      </c>
    </row>
    <row r="12" spans="1:18" x14ac:dyDescent="0.2">
      <c r="A12" s="30">
        <v>10.426000000000013</v>
      </c>
      <c r="B12" s="102">
        <v>48.938283200000029</v>
      </c>
      <c r="Q12" s="12">
        <v>37.451000000000015</v>
      </c>
      <c r="R12" s="119">
        <v>75.963283200000021</v>
      </c>
    </row>
    <row r="13" spans="1:18" x14ac:dyDescent="0.2">
      <c r="A13" s="33">
        <v>6.0988847885565384E-2</v>
      </c>
      <c r="B13" s="104">
        <v>0.29730235065240646</v>
      </c>
      <c r="P13" s="23"/>
      <c r="Q13" s="26">
        <v>0.21907666815291649</v>
      </c>
      <c r="R13" s="121">
        <v>0.46148048484533777</v>
      </c>
    </row>
    <row r="14" spans="1:18" x14ac:dyDescent="0.2">
      <c r="A14" s="32">
        <v>170.949286</v>
      </c>
      <c r="B14" s="101">
        <v>164.60779099999999</v>
      </c>
      <c r="Q14" s="27">
        <v>170.949286</v>
      </c>
      <c r="R14" s="118">
        <v>164.60779099999999</v>
      </c>
    </row>
    <row r="15" spans="1:18" x14ac:dyDescent="0.2">
      <c r="B15" s="105"/>
    </row>
    <row r="16" spans="1:18" x14ac:dyDescent="0.2">
      <c r="A16" s="34">
        <v>0.83166253419972636</v>
      </c>
      <c r="B16" s="106">
        <v>0.857583546779765</v>
      </c>
      <c r="Q16" s="23">
        <v>0.84829230777171583</v>
      </c>
      <c r="R16" s="122">
        <v>0.86</v>
      </c>
    </row>
    <row r="17" spans="1:18" x14ac:dyDescent="0.2">
      <c r="A17" s="34">
        <v>0.19058866279069778</v>
      </c>
      <c r="B17" s="106">
        <v>0.32661853686096926</v>
      </c>
      <c r="Q17" s="23">
        <v>0.28620168162650139</v>
      </c>
      <c r="R17" s="122">
        <v>0.34554582919824023</v>
      </c>
    </row>
    <row r="18" spans="1:18" x14ac:dyDescent="0.2">
      <c r="A18" s="34">
        <v>0.11142698358413144</v>
      </c>
      <c r="B18" s="106">
        <v>0.3085879443437643</v>
      </c>
      <c r="Q18" s="23">
        <v>0.19330446317506367</v>
      </c>
      <c r="R18" s="122">
        <v>0.29356565291187853</v>
      </c>
    </row>
    <row r="19" spans="1:18" x14ac:dyDescent="0.2">
      <c r="A19" s="34">
        <v>0.21182340489869955</v>
      </c>
      <c r="B19" s="106">
        <v>7.4483295437383745E-2</v>
      </c>
      <c r="Q19" s="23">
        <v>0.19744990892531872</v>
      </c>
      <c r="R19" s="122">
        <v>0.11991642320130369</v>
      </c>
    </row>
    <row r="20" spans="1:18" x14ac:dyDescent="0.2">
      <c r="B20" s="105"/>
    </row>
    <row r="21" spans="1:18" x14ac:dyDescent="0.2">
      <c r="A21" s="34">
        <v>0.5227927414761171</v>
      </c>
      <c r="B21" s="106">
        <v>1.5809716006184393</v>
      </c>
      <c r="Q21" s="23">
        <v>1.6954144522663404</v>
      </c>
      <c r="R21" s="122">
        <v>2.6</v>
      </c>
    </row>
    <row r="22" spans="1:18" x14ac:dyDescent="0.2">
      <c r="A22" s="34">
        <v>-6.5935930839647328E-2</v>
      </c>
      <c r="B22" s="106">
        <v>0.58313916923721965</v>
      </c>
      <c r="Q22" s="38" t="s">
        <v>71</v>
      </c>
      <c r="R22" s="123" t="s">
        <v>71</v>
      </c>
    </row>
    <row r="23" spans="1:18" x14ac:dyDescent="0.2">
      <c r="A23" s="34"/>
      <c r="B23" s="106"/>
      <c r="Q23" s="38"/>
      <c r="R23" s="123"/>
    </row>
    <row r="24" spans="1:18" x14ac:dyDescent="0.2">
      <c r="A24" s="34"/>
      <c r="B24" s="106"/>
      <c r="Q24" s="38"/>
      <c r="R24" s="123"/>
    </row>
    <row r="25" spans="1:18" x14ac:dyDescent="0.2">
      <c r="A25" s="53"/>
      <c r="B25" s="107"/>
      <c r="Q25" s="10"/>
      <c r="R25" s="115"/>
    </row>
    <row r="26" spans="1:18" x14ac:dyDescent="0.2">
      <c r="A26" s="34"/>
      <c r="B26" s="106"/>
      <c r="Q26" s="38"/>
      <c r="R26" s="123"/>
    </row>
    <row r="27" spans="1:18" x14ac:dyDescent="0.2">
      <c r="B27" s="105"/>
    </row>
    <row r="28" spans="1:18" x14ac:dyDescent="0.2">
      <c r="A28" s="56"/>
      <c r="B28" s="108"/>
      <c r="Q28" s="52"/>
      <c r="R28" s="124"/>
    </row>
    <row r="29" spans="1:18" x14ac:dyDescent="0.2">
      <c r="A29" s="74"/>
      <c r="B29" s="109"/>
      <c r="Q29" s="80"/>
      <c r="R29" s="125"/>
    </row>
    <row r="30" spans="1:18" x14ac:dyDescent="0.2">
      <c r="A30" s="69"/>
      <c r="B30" s="110"/>
      <c r="Q30" s="70"/>
      <c r="R30" s="126"/>
    </row>
    <row r="31" spans="1:18" x14ac:dyDescent="0.2">
      <c r="A31" s="77"/>
      <c r="B31" s="111"/>
      <c r="Q31" s="75"/>
      <c r="R31" s="127"/>
    </row>
    <row r="32" spans="1:18" x14ac:dyDescent="0.2">
      <c r="B32" s="105"/>
    </row>
    <row r="33" spans="1:18" x14ac:dyDescent="0.2">
      <c r="B33" s="105"/>
    </row>
    <row r="34" spans="1:18" x14ac:dyDescent="0.2">
      <c r="B34" s="105"/>
    </row>
    <row r="35" spans="1:18" x14ac:dyDescent="0.2">
      <c r="A35" s="31"/>
      <c r="B35" s="105"/>
    </row>
    <row r="36" spans="1:18" x14ac:dyDescent="0.2">
      <c r="A36" s="31"/>
      <c r="B36" s="105"/>
    </row>
    <row r="37" spans="1:18" x14ac:dyDescent="0.2">
      <c r="A37" s="31"/>
      <c r="B37" s="105"/>
    </row>
    <row r="38" spans="1:18" x14ac:dyDescent="0.2">
      <c r="A38" s="31"/>
      <c r="B38" s="105"/>
    </row>
    <row r="39" spans="1:18" x14ac:dyDescent="0.2">
      <c r="A39" s="31"/>
      <c r="B39" s="105"/>
    </row>
    <row r="40" spans="1:18" x14ac:dyDescent="0.2">
      <c r="A40" s="30"/>
      <c r="B40" s="112"/>
      <c r="Q40" s="3"/>
      <c r="R40" s="128"/>
    </row>
    <row r="41" spans="1:18" x14ac:dyDescent="0.2">
      <c r="A41" s="31"/>
      <c r="B41" s="105"/>
    </row>
    <row r="42" spans="1:18" x14ac:dyDescent="0.2">
      <c r="A42" s="31"/>
      <c r="B42" s="105"/>
    </row>
    <row r="43" spans="1:18" x14ac:dyDescent="0.2">
      <c r="A43" s="31"/>
      <c r="B43" s="105"/>
    </row>
    <row r="44" spans="1:18" x14ac:dyDescent="0.2">
      <c r="A44" s="31"/>
      <c r="B44" s="105"/>
    </row>
    <row r="45" spans="1:18" x14ac:dyDescent="0.2">
      <c r="A45" s="31"/>
      <c r="B45" s="105"/>
    </row>
    <row r="46" spans="1:18" x14ac:dyDescent="0.2">
      <c r="A46" s="31"/>
      <c r="B46" s="105"/>
    </row>
    <row r="47" spans="1:18" x14ac:dyDescent="0.2">
      <c r="A47" s="31"/>
      <c r="B47" s="105"/>
    </row>
    <row r="48" spans="1:18" x14ac:dyDescent="0.2">
      <c r="A48" s="31"/>
      <c r="B48" s="105"/>
    </row>
    <row r="49" spans="1:18" x14ac:dyDescent="0.2">
      <c r="A49" s="30"/>
      <c r="B49" s="112"/>
      <c r="Q49" s="3"/>
      <c r="R49" s="128"/>
    </row>
    <row r="50" spans="1:18" x14ac:dyDescent="0.2">
      <c r="A50" s="31"/>
      <c r="B50" s="105"/>
    </row>
    <row r="51" spans="1:18" x14ac:dyDescent="0.2">
      <c r="A51" s="31"/>
      <c r="B51" s="105"/>
    </row>
    <row r="52" spans="1:18" x14ac:dyDescent="0.2">
      <c r="A52" s="31"/>
      <c r="B52" s="105"/>
    </row>
    <row r="53" spans="1:18" x14ac:dyDescent="0.2">
      <c r="A53" s="30"/>
      <c r="B53" s="112"/>
      <c r="Q53" s="3"/>
      <c r="R53" s="128"/>
    </row>
    <row r="54" spans="1:18" x14ac:dyDescent="0.2">
      <c r="A54" s="31"/>
      <c r="B54" s="105"/>
    </row>
    <row r="55" spans="1:18" x14ac:dyDescent="0.2">
      <c r="A55" s="31"/>
      <c r="B55" s="105"/>
    </row>
    <row r="56" spans="1:18" x14ac:dyDescent="0.2">
      <c r="B56" s="105"/>
    </row>
    <row r="57" spans="1:18" x14ac:dyDescent="0.2">
      <c r="A57" s="31"/>
      <c r="B57" s="105"/>
    </row>
    <row r="58" spans="1:18" x14ac:dyDescent="0.2">
      <c r="A58" s="31"/>
      <c r="B58" s="105"/>
    </row>
    <row r="59" spans="1:18" x14ac:dyDescent="0.2">
      <c r="B59" s="105"/>
    </row>
    <row r="60" spans="1:18" x14ac:dyDescent="0.2">
      <c r="A60" s="31"/>
      <c r="B60" s="105"/>
    </row>
    <row r="61" spans="1:18" x14ac:dyDescent="0.2">
      <c r="B61" s="105"/>
    </row>
    <row r="62" spans="1:18" x14ac:dyDescent="0.2">
      <c r="B62" s="105"/>
    </row>
    <row r="63" spans="1:18" x14ac:dyDescent="0.2">
      <c r="B63" s="105"/>
    </row>
    <row r="64" spans="1:18" x14ac:dyDescent="0.2">
      <c r="A64" s="96"/>
      <c r="B64" s="113"/>
      <c r="Q64" s="95"/>
      <c r="R64" s="129"/>
    </row>
    <row r="65" spans="2:2" x14ac:dyDescent="0.2">
      <c r="B65" s="105"/>
    </row>
    <row r="66" spans="2:2" x14ac:dyDescent="0.2">
      <c r="B66" s="105"/>
    </row>
    <row r="67" spans="2:2" x14ac:dyDescent="0.2">
      <c r="B67" s="105"/>
    </row>
    <row r="68" spans="2:2" x14ac:dyDescent="0.2">
      <c r="B68" s="105"/>
    </row>
    <row r="69" spans="2:2" x14ac:dyDescent="0.2">
      <c r="B69" s="105"/>
    </row>
    <row r="70" spans="2:2" x14ac:dyDescent="0.2">
      <c r="B70" s="105"/>
    </row>
    <row r="71" spans="2:2" x14ac:dyDescent="0.2">
      <c r="B71" s="105"/>
    </row>
    <row r="72" spans="2:2" x14ac:dyDescent="0.2">
      <c r="B72" s="10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2024-10-24T23:07:33Z</dcterms:modified>
</cp:coreProperties>
</file>