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6ADF883-94F0-4428-A007-A83A65DEB79E}" xr6:coauthVersionLast="36" xr6:coauthVersionMax="36" xr10:uidLastSave="{00000000-0000-0000-0000-000000000000}"/>
  <bookViews>
    <workbookView xWindow="0" yWindow="0" windowWidth="27435" windowHeight="11100" activeTab="1" xr2:uid="{A0DE9234-8F94-41AD-8663-2284C148F328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0" i="2" l="1"/>
  <c r="Z77" i="2"/>
  <c r="AJ77" i="2"/>
  <c r="AJ78" i="2" s="1"/>
  <c r="AJ73" i="2"/>
  <c r="AJ72" i="2"/>
  <c r="AJ74" i="2" s="1"/>
  <c r="AJ69" i="2"/>
  <c r="AJ70" i="2" s="1"/>
  <c r="AJ67" i="2"/>
  <c r="AJ66" i="2"/>
  <c r="AJ63" i="2"/>
  <c r="AJ62" i="2"/>
  <c r="AJ61" i="2"/>
  <c r="AJ60" i="2"/>
  <c r="AJ59" i="2"/>
  <c r="AJ57" i="2"/>
  <c r="AJ56" i="2"/>
  <c r="AJ55" i="2"/>
  <c r="AJ54" i="2"/>
  <c r="AJ53" i="2"/>
  <c r="AJ58" i="2" s="1"/>
  <c r="AJ64" i="2" s="1"/>
  <c r="AJ50" i="2"/>
  <c r="AJ49" i="2"/>
  <c r="AJ48" i="2"/>
  <c r="AJ47" i="2"/>
  <c r="AJ46" i="2"/>
  <c r="AJ44" i="2"/>
  <c r="AJ43" i="2"/>
  <c r="AJ42" i="2"/>
  <c r="AJ41" i="2"/>
  <c r="AJ40" i="2"/>
  <c r="Z73" i="2"/>
  <c r="Z72" i="2"/>
  <c r="C9" i="1" s="1"/>
  <c r="Z64" i="2"/>
  <c r="Z67" i="2" s="1"/>
  <c r="Z58" i="2"/>
  <c r="Z51" i="2"/>
  <c r="Z69" i="2" s="1"/>
  <c r="Z70" i="2" s="1"/>
  <c r="Z48" i="2"/>
  <c r="Z45" i="2"/>
  <c r="C7" i="1"/>
  <c r="Z22" i="2"/>
  <c r="AJ8" i="2"/>
  <c r="AJ7" i="2"/>
  <c r="AJ5" i="2"/>
  <c r="AJ4" i="2"/>
  <c r="Z14" i="2"/>
  <c r="Z9" i="2"/>
  <c r="Z6" i="2"/>
  <c r="C33" i="1" l="1"/>
  <c r="Z80" i="2"/>
  <c r="Z74" i="2"/>
  <c r="Z78" i="2" s="1"/>
  <c r="C10" i="1"/>
  <c r="AJ45" i="2"/>
  <c r="AJ51" i="2" s="1"/>
  <c r="Z10" i="2"/>
  <c r="Z29" i="2" s="1"/>
  <c r="C26" i="1"/>
  <c r="Z15" i="2" l="1"/>
  <c r="Z30" i="2" s="1"/>
  <c r="Z19" i="2"/>
  <c r="AV28" i="2"/>
  <c r="Z32" i="2" l="1"/>
  <c r="Z21" i="2"/>
  <c r="Z31" i="2" s="1"/>
  <c r="D11" i="1" l="1"/>
  <c r="D10" i="1"/>
  <c r="D9" i="1"/>
  <c r="AK23" i="2"/>
  <c r="AL23" i="2" s="1"/>
  <c r="AM23" i="2" s="1"/>
  <c r="AN23" i="2" s="1"/>
  <c r="AO23" i="2" s="1"/>
  <c r="AP23" i="2" s="1"/>
  <c r="AQ23" i="2" s="1"/>
  <c r="AR23" i="2" s="1"/>
  <c r="AS23" i="2" s="1"/>
  <c r="R13" i="2"/>
  <c r="R12" i="2"/>
  <c r="R11" i="2"/>
  <c r="R18" i="2"/>
  <c r="R17" i="2"/>
  <c r="R16" i="2"/>
  <c r="R20" i="2"/>
  <c r="R23" i="2"/>
  <c r="R8" i="2"/>
  <c r="R7" i="2"/>
  <c r="R5" i="2"/>
  <c r="R4" i="2"/>
  <c r="AH77" i="2"/>
  <c r="AH73" i="2"/>
  <c r="AH72" i="2"/>
  <c r="AH74" i="2" s="1"/>
  <c r="AH58" i="2"/>
  <c r="AH64" i="2" s="1"/>
  <c r="AH67" i="2" s="1"/>
  <c r="AH48" i="2"/>
  <c r="AH45" i="2"/>
  <c r="AH14" i="2"/>
  <c r="AH9" i="2"/>
  <c r="AI76" i="2"/>
  <c r="AI77" i="2" s="1"/>
  <c r="AI14" i="2"/>
  <c r="AI9" i="2"/>
  <c r="V23" i="2"/>
  <c r="V77" i="2" s="1"/>
  <c r="V20" i="2"/>
  <c r="V18" i="2"/>
  <c r="V17" i="2"/>
  <c r="V16" i="2"/>
  <c r="V13" i="2"/>
  <c r="V12" i="2"/>
  <c r="V11" i="2"/>
  <c r="V8" i="2"/>
  <c r="V7" i="2"/>
  <c r="V5" i="2"/>
  <c r="V4" i="2"/>
  <c r="Y77" i="2"/>
  <c r="X77" i="2"/>
  <c r="Y73" i="2"/>
  <c r="Y72" i="2"/>
  <c r="Y58" i="2"/>
  <c r="Y64" i="2" s="1"/>
  <c r="Y67" i="2" s="1"/>
  <c r="Y48" i="2"/>
  <c r="Y45" i="2"/>
  <c r="Y51" i="2" s="1"/>
  <c r="D7" i="1"/>
  <c r="U14" i="2"/>
  <c r="U9" i="2"/>
  <c r="U6" i="2"/>
  <c r="Y14" i="2"/>
  <c r="Y9" i="2"/>
  <c r="Y6" i="2"/>
  <c r="Z27" i="2" s="1"/>
  <c r="R6" i="2" l="1"/>
  <c r="Y69" i="2"/>
  <c r="Y70" i="2" s="1"/>
  <c r="Y80" i="2" s="1"/>
  <c r="AH51" i="2"/>
  <c r="AH69" i="2" s="1"/>
  <c r="AH70" i="2" s="1"/>
  <c r="AJ12" i="2"/>
  <c r="AJ17" i="2"/>
  <c r="AK17" i="2" s="1"/>
  <c r="AL17" i="2" s="1"/>
  <c r="AJ18" i="2"/>
  <c r="AK18" i="2" s="1"/>
  <c r="AL18" i="2" s="1"/>
  <c r="V6" i="2"/>
  <c r="Z26" i="2" s="1"/>
  <c r="R9" i="2"/>
  <c r="V9" i="2"/>
  <c r="AJ16" i="2"/>
  <c r="AK16" i="2" s="1"/>
  <c r="R14" i="2"/>
  <c r="Y74" i="2"/>
  <c r="Y78" i="2" s="1"/>
  <c r="AJ13" i="2"/>
  <c r="AH78" i="2"/>
  <c r="Y26" i="2"/>
  <c r="Y10" i="2"/>
  <c r="U10" i="2"/>
  <c r="U29" i="2" s="1"/>
  <c r="V14" i="2"/>
  <c r="AI66" i="2"/>
  <c r="AI63" i="2"/>
  <c r="AI62" i="2"/>
  <c r="AI73" i="2" s="1"/>
  <c r="AI61" i="2"/>
  <c r="AI60" i="2"/>
  <c r="AI57" i="2"/>
  <c r="AI56" i="2"/>
  <c r="AI55" i="2"/>
  <c r="AI54" i="2"/>
  <c r="AI53" i="2"/>
  <c r="AI59" i="2"/>
  <c r="AI50" i="2"/>
  <c r="AI49" i="2"/>
  <c r="AI47" i="2"/>
  <c r="AI46" i="2"/>
  <c r="AI44" i="2"/>
  <c r="AI43" i="2"/>
  <c r="AI42" i="2"/>
  <c r="AI41" i="2"/>
  <c r="AI40" i="2"/>
  <c r="V48" i="2"/>
  <c r="AI48" i="2" s="1"/>
  <c r="X48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X73" i="2"/>
  <c r="X72" i="2"/>
  <c r="X58" i="2"/>
  <c r="X64" i="2" s="1"/>
  <c r="X67" i="2" s="1"/>
  <c r="V58" i="2"/>
  <c r="V64" i="2" s="1"/>
  <c r="V67" i="2" s="1"/>
  <c r="U58" i="2"/>
  <c r="U64" i="2" s="1"/>
  <c r="U67" i="2" s="1"/>
  <c r="T58" i="2"/>
  <c r="T64" i="2" s="1"/>
  <c r="T67" i="2" s="1"/>
  <c r="S58" i="2"/>
  <c r="S64" i="2" s="1"/>
  <c r="S67" i="2" s="1"/>
  <c r="R58" i="2"/>
  <c r="R64" i="2" s="1"/>
  <c r="R67" i="2" s="1"/>
  <c r="Q58" i="2"/>
  <c r="Q64" i="2" s="1"/>
  <c r="Q67" i="2" s="1"/>
  <c r="P58" i="2"/>
  <c r="P64" i="2" s="1"/>
  <c r="P67" i="2" s="1"/>
  <c r="O58" i="2"/>
  <c r="O64" i="2" s="1"/>
  <c r="O67" i="2" s="1"/>
  <c r="N58" i="2"/>
  <c r="N64" i="2" s="1"/>
  <c r="N67" i="2" s="1"/>
  <c r="M58" i="2"/>
  <c r="M64" i="2" s="1"/>
  <c r="M67" i="2" s="1"/>
  <c r="L58" i="2"/>
  <c r="L64" i="2" s="1"/>
  <c r="K58" i="2"/>
  <c r="K64" i="2" s="1"/>
  <c r="K67" i="2" s="1"/>
  <c r="J58" i="2"/>
  <c r="J64" i="2" s="1"/>
  <c r="J67" i="2" s="1"/>
  <c r="I58" i="2"/>
  <c r="I64" i="2" s="1"/>
  <c r="I67" i="2" s="1"/>
  <c r="H58" i="2"/>
  <c r="H64" i="2" s="1"/>
  <c r="H67" i="2" s="1"/>
  <c r="G58" i="2"/>
  <c r="G64" i="2" s="1"/>
  <c r="G67" i="2" s="1"/>
  <c r="F58" i="2"/>
  <c r="F64" i="2" s="1"/>
  <c r="F67" i="2" s="1"/>
  <c r="E58" i="2"/>
  <c r="D58" i="2"/>
  <c r="C58" i="2"/>
  <c r="C64" i="2" s="1"/>
  <c r="C67" i="2" s="1"/>
  <c r="E64" i="2"/>
  <c r="E67" i="2" s="1"/>
  <c r="D64" i="2"/>
  <c r="D67" i="2" s="1"/>
  <c r="V45" i="2"/>
  <c r="U45" i="2"/>
  <c r="U51" i="2" s="1"/>
  <c r="T45" i="2"/>
  <c r="T51" i="2" s="1"/>
  <c r="S45" i="2"/>
  <c r="S51" i="2" s="1"/>
  <c r="R45" i="2"/>
  <c r="R51" i="2" s="1"/>
  <c r="R69" i="2" s="1"/>
  <c r="R70" i="2" s="1"/>
  <c r="Q45" i="2"/>
  <c r="Q51" i="2" s="1"/>
  <c r="Q69" i="2" s="1"/>
  <c r="Q70" i="2" s="1"/>
  <c r="P45" i="2"/>
  <c r="P51" i="2" s="1"/>
  <c r="O45" i="2"/>
  <c r="O51" i="2" s="1"/>
  <c r="N45" i="2"/>
  <c r="N51" i="2" s="1"/>
  <c r="M45" i="2"/>
  <c r="M51" i="2" s="1"/>
  <c r="L45" i="2"/>
  <c r="L51" i="2" s="1"/>
  <c r="K45" i="2"/>
  <c r="K51" i="2" s="1"/>
  <c r="J45" i="2"/>
  <c r="J51" i="2" s="1"/>
  <c r="I45" i="2"/>
  <c r="I51" i="2" s="1"/>
  <c r="H45" i="2"/>
  <c r="H51" i="2" s="1"/>
  <c r="G45" i="2"/>
  <c r="G51" i="2" s="1"/>
  <c r="F45" i="2"/>
  <c r="F51" i="2" s="1"/>
  <c r="F69" i="2" s="1"/>
  <c r="F70" i="2" s="1"/>
  <c r="E45" i="2"/>
  <c r="E51" i="2" s="1"/>
  <c r="D45" i="2"/>
  <c r="D51" i="2" s="1"/>
  <c r="C45" i="2"/>
  <c r="C51" i="2" s="1"/>
  <c r="X45" i="2"/>
  <c r="S69" i="2" l="1"/>
  <c r="S70" i="2" s="1"/>
  <c r="G69" i="2"/>
  <c r="G70" i="2" s="1"/>
  <c r="J69" i="2"/>
  <c r="J70" i="2" s="1"/>
  <c r="R10" i="2"/>
  <c r="U69" i="2"/>
  <c r="U70" i="2" s="1"/>
  <c r="V51" i="2"/>
  <c r="K69" i="2"/>
  <c r="K70" i="2" s="1"/>
  <c r="O69" i="2"/>
  <c r="O70" i="2" s="1"/>
  <c r="I69" i="2"/>
  <c r="I70" i="2" s="1"/>
  <c r="U15" i="2"/>
  <c r="U19" i="2" s="1"/>
  <c r="Q74" i="2"/>
  <c r="E69" i="2"/>
  <c r="E70" i="2" s="1"/>
  <c r="G74" i="2"/>
  <c r="K74" i="2"/>
  <c r="AJ11" i="2"/>
  <c r="P74" i="2"/>
  <c r="E74" i="2"/>
  <c r="R15" i="2"/>
  <c r="R19" i="2" s="1"/>
  <c r="R21" i="2" s="1"/>
  <c r="R22" i="2" s="1"/>
  <c r="D74" i="2"/>
  <c r="S74" i="2"/>
  <c r="L69" i="2"/>
  <c r="L70" i="2" s="1"/>
  <c r="J74" i="2"/>
  <c r="H69" i="2"/>
  <c r="H70" i="2" s="1"/>
  <c r="T69" i="2"/>
  <c r="T70" i="2" s="1"/>
  <c r="L74" i="2"/>
  <c r="H74" i="2"/>
  <c r="L67" i="2"/>
  <c r="I74" i="2"/>
  <c r="U74" i="2"/>
  <c r="M74" i="2"/>
  <c r="T74" i="2"/>
  <c r="V27" i="2"/>
  <c r="V10" i="2"/>
  <c r="V29" i="2" s="1"/>
  <c r="M69" i="2"/>
  <c r="M70" i="2" s="1"/>
  <c r="N69" i="2"/>
  <c r="N70" i="2" s="1"/>
  <c r="C69" i="2"/>
  <c r="C70" i="2" s="1"/>
  <c r="N74" i="2"/>
  <c r="D69" i="2"/>
  <c r="D70" i="2" s="1"/>
  <c r="P69" i="2"/>
  <c r="P70" i="2" s="1"/>
  <c r="C74" i="2"/>
  <c r="O74" i="2"/>
  <c r="X74" i="2"/>
  <c r="X78" i="2" s="1"/>
  <c r="AI72" i="2"/>
  <c r="AI74" i="2" s="1"/>
  <c r="AI78" i="2" s="1"/>
  <c r="AI58" i="2"/>
  <c r="AI64" i="2" s="1"/>
  <c r="AI67" i="2" s="1"/>
  <c r="F74" i="2"/>
  <c r="R74" i="2"/>
  <c r="AI45" i="2"/>
  <c r="AI51" i="2" s="1"/>
  <c r="AM18" i="2"/>
  <c r="AN18" i="2" s="1"/>
  <c r="Y29" i="2"/>
  <c r="Y15" i="2"/>
  <c r="AL16" i="2"/>
  <c r="AM17" i="2"/>
  <c r="AN17" i="2" s="1"/>
  <c r="AO17" i="2" s="1"/>
  <c r="AJ14" i="2"/>
  <c r="V74" i="2"/>
  <c r="V78" i="2" s="1"/>
  <c r="V69" i="2"/>
  <c r="V70" i="2" s="1"/>
  <c r="V80" i="2" s="1"/>
  <c r="X51" i="2"/>
  <c r="X69" i="2" s="1"/>
  <c r="X70" i="2" s="1"/>
  <c r="X80" i="2" s="1"/>
  <c r="AH6" i="2"/>
  <c r="AG5" i="2"/>
  <c r="AG4" i="2"/>
  <c r="T14" i="2"/>
  <c r="T9" i="2"/>
  <c r="T6" i="2"/>
  <c r="X14" i="2"/>
  <c r="X9" i="2"/>
  <c r="X6" i="2"/>
  <c r="Y27" i="2" s="1"/>
  <c r="W77" i="2"/>
  <c r="AG6" i="2" l="1"/>
  <c r="U30" i="2"/>
  <c r="V15" i="2"/>
  <c r="AH10" i="2"/>
  <c r="AH81" i="2"/>
  <c r="AO18" i="2"/>
  <c r="AP18" i="2" s="1"/>
  <c r="AI69" i="2"/>
  <c r="AI70" i="2" s="1"/>
  <c r="AI80" i="2" s="1"/>
  <c r="X26" i="2"/>
  <c r="AH82" i="2"/>
  <c r="X10" i="2"/>
  <c r="U27" i="2"/>
  <c r="T10" i="2"/>
  <c r="T29" i="2" s="1"/>
  <c r="Y30" i="2"/>
  <c r="Y19" i="2"/>
  <c r="AM16" i="2"/>
  <c r="AN16" i="2" s="1"/>
  <c r="AP17" i="2"/>
  <c r="AQ17" i="2" s="1"/>
  <c r="U21" i="2"/>
  <c r="U32" i="2"/>
  <c r="AI6" i="2"/>
  <c r="W73" i="2"/>
  <c r="W72" i="2"/>
  <c r="W74" i="2" s="1"/>
  <c r="W78" i="2" s="1"/>
  <c r="W58" i="2"/>
  <c r="W64" i="2" s="1"/>
  <c r="W67" i="2" s="1"/>
  <c r="W48" i="2"/>
  <c r="W45" i="2"/>
  <c r="S14" i="2"/>
  <c r="W14" i="2"/>
  <c r="W9" i="2"/>
  <c r="AJ9" i="2" s="1"/>
  <c r="S9" i="2"/>
  <c r="S6" i="2"/>
  <c r="T27" i="2" s="1"/>
  <c r="W6" i="2"/>
  <c r="X27" i="2" l="1"/>
  <c r="Z81" i="2"/>
  <c r="Z82" i="2"/>
  <c r="W51" i="2"/>
  <c r="AQ18" i="2"/>
  <c r="V30" i="2"/>
  <c r="V19" i="2"/>
  <c r="T15" i="2"/>
  <c r="T19" i="2" s="1"/>
  <c r="AI26" i="2"/>
  <c r="AI10" i="2"/>
  <c r="AI81" i="2"/>
  <c r="AH29" i="2"/>
  <c r="AH15" i="2"/>
  <c r="AI82" i="2"/>
  <c r="Y32" i="2"/>
  <c r="Y21" i="2"/>
  <c r="Y81" i="2"/>
  <c r="W27" i="2"/>
  <c r="Y82" i="2"/>
  <c r="X81" i="2"/>
  <c r="X82" i="2"/>
  <c r="AJ6" i="2"/>
  <c r="V81" i="2"/>
  <c r="V82" i="2"/>
  <c r="W81" i="2"/>
  <c r="W82" i="2"/>
  <c r="W26" i="2"/>
  <c r="X15" i="2"/>
  <c r="X29" i="2"/>
  <c r="AO16" i="2"/>
  <c r="AP16" i="2" s="1"/>
  <c r="AR18" i="2"/>
  <c r="AS18" i="2" s="1"/>
  <c r="AR17" i="2"/>
  <c r="AS17" i="2" s="1"/>
  <c r="U31" i="2"/>
  <c r="U22" i="2"/>
  <c r="W69" i="2"/>
  <c r="W70" i="2" s="1"/>
  <c r="W80" i="2" s="1"/>
  <c r="S10" i="2"/>
  <c r="W10" i="2"/>
  <c r="AJ82" i="2" l="1"/>
  <c r="AJ81" i="2"/>
  <c r="AJ20" i="2"/>
  <c r="V21" i="2"/>
  <c r="V32" i="2"/>
  <c r="T30" i="2"/>
  <c r="AH30" i="2"/>
  <c r="AH19" i="2"/>
  <c r="AI29" i="2"/>
  <c r="AI15" i="2"/>
  <c r="X30" i="2"/>
  <c r="X19" i="2"/>
  <c r="Y22" i="2"/>
  <c r="Y31" i="2"/>
  <c r="AJ26" i="2"/>
  <c r="AK6" i="2"/>
  <c r="AJ10" i="2"/>
  <c r="AQ16" i="2"/>
  <c r="AR16" i="2" s="1"/>
  <c r="AS16" i="2" s="1"/>
  <c r="T32" i="2"/>
  <c r="T21" i="2"/>
  <c r="S29" i="2"/>
  <c r="S15" i="2"/>
  <c r="W29" i="2"/>
  <c r="W15" i="2"/>
  <c r="C11" i="1"/>
  <c r="AV25" i="2" s="1"/>
  <c r="C8" i="1"/>
  <c r="C34" i="1" s="1"/>
  <c r="V22" i="2" l="1"/>
  <c r="V31" i="2"/>
  <c r="AH21" i="2"/>
  <c r="AH32" i="2"/>
  <c r="AI19" i="2"/>
  <c r="AI30" i="2"/>
  <c r="AL6" i="2"/>
  <c r="AK12" i="2"/>
  <c r="AK13" i="2"/>
  <c r="AK11" i="2"/>
  <c r="AK9" i="2"/>
  <c r="AK10" i="2" s="1"/>
  <c r="X21" i="2"/>
  <c r="X32" i="2"/>
  <c r="AJ29" i="2"/>
  <c r="AJ15" i="2"/>
  <c r="C12" i="1"/>
  <c r="T22" i="2"/>
  <c r="T31" i="2"/>
  <c r="S30" i="2"/>
  <c r="S19" i="2"/>
  <c r="W19" i="2"/>
  <c r="W30" i="2"/>
  <c r="C35" i="1" l="1"/>
  <c r="C37" i="1"/>
  <c r="AI21" i="2"/>
  <c r="AI32" i="2"/>
  <c r="AH31" i="2"/>
  <c r="AH22" i="2"/>
  <c r="AH83" i="2" s="1"/>
  <c r="AJ30" i="2"/>
  <c r="AJ19" i="2"/>
  <c r="X22" i="2"/>
  <c r="X31" i="2"/>
  <c r="AK14" i="2"/>
  <c r="AK15" i="2" s="1"/>
  <c r="AK19" i="2" s="1"/>
  <c r="AK20" i="2" s="1"/>
  <c r="AK21" i="2" s="1"/>
  <c r="AK22" i="2" s="1"/>
  <c r="AL12" i="2"/>
  <c r="AL9" i="2"/>
  <c r="AL10" i="2" s="1"/>
  <c r="AM6" i="2"/>
  <c r="AL13" i="2"/>
  <c r="AL11" i="2"/>
  <c r="S21" i="2"/>
  <c r="S32" i="2"/>
  <c r="W21" i="2"/>
  <c r="W22" i="2" s="1"/>
  <c r="W32" i="2"/>
  <c r="W83" i="2" l="1"/>
  <c r="Z83" i="2"/>
  <c r="AL14" i="2"/>
  <c r="AL15" i="2" s="1"/>
  <c r="AL19" i="2" s="1"/>
  <c r="AL20" i="2" s="1"/>
  <c r="AL21" i="2" s="1"/>
  <c r="AL22" i="2" s="1"/>
  <c r="AI22" i="2"/>
  <c r="AI83" i="2" s="1"/>
  <c r="AI31" i="2"/>
  <c r="AM12" i="2"/>
  <c r="AM9" i="2"/>
  <c r="AM10" i="2" s="1"/>
  <c r="AN6" i="2"/>
  <c r="AM11" i="2"/>
  <c r="AM13" i="2"/>
  <c r="Y83" i="2"/>
  <c r="X83" i="2"/>
  <c r="AJ21" i="2"/>
  <c r="AJ32" i="2"/>
  <c r="S22" i="2"/>
  <c r="V83" i="2" s="1"/>
  <c r="S31" i="2"/>
  <c r="W31" i="2"/>
  <c r="AJ22" i="2" l="1"/>
  <c r="AM14" i="2"/>
  <c r="AM15" i="2" s="1"/>
  <c r="AM19" i="2" s="1"/>
  <c r="AM20" i="2" s="1"/>
  <c r="AM21" i="2" s="1"/>
  <c r="AM22" i="2" s="1"/>
  <c r="AJ31" i="2"/>
  <c r="AN12" i="2"/>
  <c r="AO6" i="2"/>
  <c r="AN11" i="2"/>
  <c r="AN9" i="2"/>
  <c r="AN10" i="2" s="1"/>
  <c r="AN13" i="2"/>
  <c r="C36" i="1" l="1"/>
  <c r="AJ83" i="2"/>
  <c r="AN14" i="2"/>
  <c r="AN15" i="2" s="1"/>
  <c r="AN19" i="2" s="1"/>
  <c r="AN20" i="2" s="1"/>
  <c r="AN21" i="2" s="1"/>
  <c r="AN22" i="2" s="1"/>
  <c r="AO12" i="2"/>
  <c r="AO11" i="2"/>
  <c r="AO9" i="2"/>
  <c r="AO10" i="2" s="1"/>
  <c r="AO13" i="2"/>
  <c r="AP6" i="2"/>
  <c r="AP12" i="2" l="1"/>
  <c r="AQ6" i="2"/>
  <c r="AP11" i="2"/>
  <c r="AP9" i="2"/>
  <c r="AP10" i="2" s="1"/>
  <c r="AP13" i="2"/>
  <c r="AO14" i="2"/>
  <c r="AO15" i="2" s="1"/>
  <c r="AO19" i="2" s="1"/>
  <c r="AO20" i="2" s="1"/>
  <c r="AO21" i="2" s="1"/>
  <c r="AO22" i="2" s="1"/>
  <c r="AP14" i="2" l="1"/>
  <c r="AP15" i="2" s="1"/>
  <c r="AP19" i="2" s="1"/>
  <c r="AP20" i="2" s="1"/>
  <c r="AP21" i="2" s="1"/>
  <c r="AP22" i="2" s="1"/>
  <c r="AQ12" i="2"/>
  <c r="AQ9" i="2"/>
  <c r="AQ10" i="2" s="1"/>
  <c r="AQ11" i="2"/>
  <c r="AQ13" i="2"/>
  <c r="AR6" i="2"/>
  <c r="AR12" i="2" l="1"/>
  <c r="AR9" i="2"/>
  <c r="AR10" i="2" s="1"/>
  <c r="AR11" i="2"/>
  <c r="AR13" i="2"/>
  <c r="AS6" i="2"/>
  <c r="AQ14" i="2"/>
  <c r="AQ15" i="2" s="1"/>
  <c r="AQ19" i="2" s="1"/>
  <c r="AQ20" i="2" s="1"/>
  <c r="AQ21" i="2" s="1"/>
  <c r="AQ22" i="2" s="1"/>
  <c r="AS12" i="2" l="1"/>
  <c r="AS11" i="2"/>
  <c r="AS9" i="2"/>
  <c r="AS10" i="2" s="1"/>
  <c r="AS13" i="2"/>
  <c r="AR14" i="2"/>
  <c r="AR15" i="2" s="1"/>
  <c r="AR19" i="2" s="1"/>
  <c r="AR20" i="2" s="1"/>
  <c r="AR21" i="2" s="1"/>
  <c r="AR22" i="2" s="1"/>
  <c r="AS14" i="2" l="1"/>
  <c r="AS15" i="2" s="1"/>
  <c r="AS19" i="2" s="1"/>
  <c r="AS20" i="2" s="1"/>
  <c r="AS21" i="2" s="1"/>
  <c r="AS22" i="2" l="1"/>
  <c r="AT21" i="2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AV24" i="2" s="1"/>
  <c r="AV26" i="2" s="1"/>
  <c r="AV27" i="2" s="1"/>
  <c r="AV29" i="2" s="1"/>
</calcChain>
</file>

<file path=xl/sharedStrings.xml><?xml version="1.0" encoding="utf-8"?>
<sst xmlns="http://schemas.openxmlformats.org/spreadsheetml/2006/main" count="215" uniqueCount="162">
  <si>
    <t>$MDB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</si>
  <si>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</si>
  <si>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</si>
  <si>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</si>
  <si>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</si>
  <si>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</si>
  <si>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</si>
  <si>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</si>
  <si>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</si>
  <si>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</si>
  <si>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</si>
  <si>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</si>
  <si>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</si>
  <si>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MongoDB, Inc.</t>
  </si>
  <si>
    <t>Profile</t>
  </si>
  <si>
    <t>HQ</t>
  </si>
  <si>
    <t>Founded</t>
  </si>
  <si>
    <t>Update</t>
  </si>
  <si>
    <t>IR</t>
  </si>
  <si>
    <t>Key Metrics</t>
  </si>
  <si>
    <t>P/E</t>
  </si>
  <si>
    <t>P/B</t>
  </si>
  <si>
    <t>P/S</t>
  </si>
  <si>
    <t>EV/S</t>
  </si>
  <si>
    <t>EV/E</t>
  </si>
  <si>
    <t>Key Events</t>
  </si>
  <si>
    <t>Source-Available NoSQL database software</t>
  </si>
  <si>
    <t>Dev Ittycheria</t>
  </si>
  <si>
    <t>Director</t>
  </si>
  <si>
    <t>Co-Found</t>
  </si>
  <si>
    <t>Dwight Merriman</t>
  </si>
  <si>
    <t>Michael Gordon</t>
  </si>
  <si>
    <t>CTO</t>
  </si>
  <si>
    <t>Mark Porter</t>
  </si>
  <si>
    <t>Products</t>
  </si>
  <si>
    <t>AWS Collaboration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</si>
  <si>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</si>
  <si>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</si>
  <si>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</si>
  <si>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</si>
  <si>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</si>
  <si>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</si>
  <si>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</si>
  <si>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</si>
  <si>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</si>
  <si>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</si>
  <si>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</si>
  <si>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</si>
  <si>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</si>
  <si>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</si>
  <si>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</si>
  <si>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</si>
  <si>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</si>
  <si>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</si>
  <si>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</si>
  <si>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</si>
  <si>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</si>
  <si>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</si>
  <si>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</si>
  <si>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</si>
  <si>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</si>
  <si>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</si>
  <si>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</si>
  <si>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</si>
  <si>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</si>
  <si>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</si>
  <si>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</si>
  <si>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</si>
  <si>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</si>
  <si>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</si>
  <si>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</si>
  <si>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FQ323</t>
  </si>
  <si>
    <t>IPO</t>
  </si>
  <si>
    <t>In 2013 MongoDB, Inc. was revealed to have received funding through CIA-sponsered In-Q-Tel which has been</t>
  </si>
  <si>
    <t>a concern for foreign nations, such as India</t>
  </si>
  <si>
    <t>FQ123</t>
  </si>
  <si>
    <t>Revenue</t>
  </si>
  <si>
    <t>COGS</t>
  </si>
  <si>
    <t>Subscription COGS</t>
  </si>
  <si>
    <t>Services COGS</t>
  </si>
  <si>
    <t>Subscription Revenue</t>
  </si>
  <si>
    <t>Services Revenue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</si>
  <si>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</si>
  <si>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</si>
  <si>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</si>
  <si>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</si>
  <si>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</si>
  <si>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</si>
  <si>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</si>
  <si>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FQ223</t>
  </si>
  <si>
    <t>FQ423</t>
  </si>
  <si>
    <t>Sales &amp; Marketing</t>
  </si>
  <si>
    <t>R&amp;D</t>
  </si>
  <si>
    <t>G&amp;A</t>
  </si>
  <si>
    <t>Total Operating Expenses</t>
  </si>
  <si>
    <t>Operating Income</t>
  </si>
  <si>
    <t>Interest Income</t>
  </si>
  <si>
    <t>Interest Expense</t>
  </si>
  <si>
    <t>Other Income, Net</t>
  </si>
  <si>
    <t>Pretax Income</t>
  </si>
  <si>
    <t>Taxes</t>
  </si>
  <si>
    <t>Net Income</t>
  </si>
  <si>
    <t>EPS</t>
  </si>
  <si>
    <t>Balance Sheet</t>
  </si>
  <si>
    <t>Short-Term Investments</t>
  </si>
  <si>
    <t>A/R</t>
  </si>
  <si>
    <t>Deferred Commission</t>
  </si>
  <si>
    <t>Prepaid Expenses &amp; OCA</t>
  </si>
  <si>
    <t>TCA</t>
  </si>
  <si>
    <t>PP&amp;E</t>
  </si>
  <si>
    <t>Operating Lease ROU</t>
  </si>
  <si>
    <t>Goodwill+Intangibles</t>
  </si>
  <si>
    <t>Deferred Taxes</t>
  </si>
  <si>
    <t>Other Assets</t>
  </si>
  <si>
    <t>Assets</t>
  </si>
  <si>
    <t>A/P</t>
  </si>
  <si>
    <t>Accrued Compensation &amp; Benefits</t>
  </si>
  <si>
    <t>Operating Lease Liabiltiies</t>
  </si>
  <si>
    <t>Other Accrued Liabilities</t>
  </si>
  <si>
    <t>Deferred Revenue</t>
  </si>
  <si>
    <t>TCL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</si>
  <si>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</si>
  <si>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</si>
  <si>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</si>
  <si>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</si>
  <si>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</si>
  <si>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</si>
  <si>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</si>
  <si>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</si>
  <si>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ROCE</t>
  </si>
  <si>
    <t>Link</t>
  </si>
  <si>
    <t>Competition</t>
  </si>
  <si>
    <t>Microsoft SQL Server</t>
  </si>
  <si>
    <t>MySQL</t>
  </si>
  <si>
    <t>PostgreSQL</t>
  </si>
  <si>
    <t>SQLite</t>
  </si>
  <si>
    <t>Open Source</t>
  </si>
  <si>
    <t>Open Source/Oracle</t>
  </si>
  <si>
    <t>MariaDB</t>
  </si>
  <si>
    <t>Open Source Fork</t>
  </si>
  <si>
    <t>Relational DB Software</t>
  </si>
  <si>
    <t>New York City, NY</t>
  </si>
  <si>
    <t>-</t>
  </si>
  <si>
    <t>(Projected)</t>
  </si>
  <si>
    <t>f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</si>
  <si>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</si>
  <si>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</si>
  <si>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</si>
  <si>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</si>
  <si>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</si>
  <si>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</si>
  <si>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</si>
  <si>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Cashflow Statement</t>
  </si>
  <si>
    <t>CFFO</t>
  </si>
  <si>
    <t>CapEx</t>
  </si>
  <si>
    <t>FCF</t>
  </si>
  <si>
    <t>Emply.</t>
  </si>
  <si>
    <t>Non-Finance Metrics</t>
  </si>
  <si>
    <t>Employees</t>
  </si>
  <si>
    <t>MIXED</t>
  </si>
  <si>
    <t>FQ124</t>
  </si>
  <si>
    <t>FQ224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</si>
</sst>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1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164" fontId="1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164" fontId="5" fillId="0" borderId="0" xfId="0" applyNumberFormat="1" applyFont="1"/>
    <xf numFmtId="0" fontId="7" fillId="0" borderId="0" xfId="1" applyFont="1" applyAlignment="1">
      <alignment horizontal="right"/>
    </xf>
    <xf numFmtId="4" fontId="1" fillId="0" borderId="0" xfId="0" applyNumberFormat="1" applyFont="1"/>
    <xf numFmtId="0" fontId="8" fillId="0" borderId="0" xfId="0" applyFont="1"/>
    <xf numFmtId="0" fontId="5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0" fontId="1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2"/>
    </xf>
    <xf numFmtId="16" fontId="3" fillId="0" borderId="0" xfId="0" applyNumberFormat="1" applyFont="1" applyAlignment="1">
      <alignment horizontal="right"/>
    </xf>
    <xf numFmtId="167" fontId="1" fillId="0" borderId="0" xfId="0" applyNumberFormat="1" applyFont="1"/>
    <xf numFmtId="166" fontId="1" fillId="0" borderId="0" xfId="0" applyNumberFormat="1" applyFont="1" applyAlignment="1">
      <alignment horizontal="right"/>
    </xf>
    <xf numFmtId="0" fontId="5" fillId="6" borderId="0" xfId="0" applyFont="1" applyFill="1"/>
    <xf numFmtId="0" fontId="9" fillId="6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164" fontId="10" fillId="6" borderId="0" xfId="0" applyNumberFormat="1" applyFont="1" applyFill="1"/>
    <xf numFmtId="0" fontId="10" fillId="6" borderId="0" xfId="0" applyFont="1" applyFill="1"/>
    <xf numFmtId="164" fontId="5" fillId="6" borderId="0" xfId="0" applyNumberFormat="1" applyFont="1" applyFill="1"/>
    <xf numFmtId="4" fontId="5" fillId="6" borderId="0" xfId="0" applyNumberFormat="1" applyFont="1" applyFill="1"/>
    <xf numFmtId="9" fontId="5" fillId="6" borderId="0" xfId="0" applyNumberFormat="1" applyFont="1" applyFill="1"/>
    <xf numFmtId="165" fontId="5" fillId="6" borderId="0" xfId="0" applyNumberFormat="1" applyFont="1" applyFill="1"/>
    <xf numFmtId="164" fontId="10" fillId="6" borderId="0" xfId="0" applyNumberFormat="1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9" fontId="10" fillId="6" borderId="0" xfId="0" applyNumberFormat="1" applyFont="1" applyFill="1"/>
    <xf numFmtId="4" fontId="1" fillId="3" borderId="1" xfId="0" applyNumberFormat="1" applyFont="1" applyFill="1" applyBorder="1"/>
    <xf numFmtId="164" fontId="1" fillId="3" borderId="4" xfId="0" applyNumberFormat="1" applyFont="1" applyFill="1" applyBorder="1"/>
    <xf numFmtId="164" fontId="1" fillId="0" borderId="5" xfId="0" applyNumberFormat="1" applyFont="1" applyBorder="1"/>
    <xf numFmtId="0" fontId="1" fillId="3" borderId="4" xfId="0" applyFont="1" applyFill="1" applyBorder="1"/>
    <xf numFmtId="0" fontId="1" fillId="0" borderId="5" xfId="0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2" fontId="2" fillId="0" borderId="5" xfId="0" applyNumberFormat="1" applyFont="1" applyBorder="1"/>
    <xf numFmtId="9" fontId="8" fillId="0" borderId="0" xfId="0" applyNumberFormat="1" applyFont="1"/>
    <xf numFmtId="3" fontId="1" fillId="0" borderId="0" xfId="0" applyNumberFormat="1" applyFont="1"/>
    <xf numFmtId="3" fontId="5" fillId="6" borderId="0" xfId="0" applyNumberFormat="1" applyFont="1" applyFill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7" borderId="0" xfId="0" applyFont="1" applyFill="1" applyAlignment="1">
      <alignment horizontal="right"/>
    </xf>
    <xf numFmtId="14" fontId="3" fillId="7" borderId="0" xfId="0" applyNumberFormat="1" applyFont="1" applyFill="1" applyAlignment="1">
      <alignment horizontal="right"/>
    </xf>
    <xf numFmtId="17" fontId="3" fillId="7" borderId="0" xfId="0" applyNumberFormat="1" applyFont="1" applyFill="1" applyAlignment="1">
      <alignment horizontal="right"/>
    </xf>
    <xf numFmtId="164" fontId="5" fillId="7" borderId="0" xfId="0" applyNumberFormat="1" applyFont="1" applyFill="1"/>
    <xf numFmtId="164" fontId="2" fillId="7" borderId="0" xfId="0" applyNumberFormat="1" applyFont="1" applyFill="1"/>
    <xf numFmtId="164" fontId="1" fillId="7" borderId="0" xfId="0" applyNumberFormat="1" applyFont="1" applyFill="1"/>
    <xf numFmtId="4" fontId="1" fillId="7" borderId="0" xfId="0" applyNumberFormat="1" applyFont="1" applyFill="1"/>
    <xf numFmtId="0" fontId="1" fillId="7" borderId="0" xfId="0" applyFont="1" applyFill="1"/>
    <xf numFmtId="9" fontId="2" fillId="7" borderId="0" xfId="0" applyNumberFormat="1" applyFont="1" applyFill="1"/>
    <xf numFmtId="9" fontId="1" fillId="7" borderId="0" xfId="0" applyNumberFormat="1" applyFont="1" applyFill="1"/>
    <xf numFmtId="14" fontId="3" fillId="0" borderId="0" xfId="0" applyNumberFormat="1" applyFont="1" applyFill="1" applyAlignment="1">
      <alignment horizontal="right"/>
    </xf>
    <xf numFmtId="17" fontId="3" fillId="0" borderId="0" xfId="0" applyNumberFormat="1" applyFont="1" applyFill="1" applyAlignment="1">
      <alignment horizontal="right"/>
    </xf>
    <xf numFmtId="164" fontId="5" fillId="0" borderId="0" xfId="0" applyNumberFormat="1" applyFon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9" fontId="1" fillId="0" borderId="0" xfId="0" applyNumberFormat="1" applyFont="1" applyFill="1"/>
    <xf numFmtId="9" fontId="5" fillId="0" borderId="0" xfId="0" applyNumberFormat="1" applyFont="1" applyFill="1"/>
    <xf numFmtId="3" fontId="5" fillId="0" borderId="0" xfId="0" applyNumberFormat="1" applyFont="1" applyFill="1"/>
    <xf numFmtId="0" fontId="5" fillId="0" borderId="0" xfId="0" applyFont="1" applyFill="1"/>
    <xf numFmtId="0" fontId="10" fillId="0" borderId="0" xfId="0" applyFont="1" applyFill="1"/>
    <xf numFmtId="0" fontId="7" fillId="0" borderId="0" xfId="1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9" fontId="10" fillId="0" borderId="0" xfId="0" applyNumberFormat="1" applyFont="1" applyFill="1"/>
    <xf numFmtId="0" fontId="2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6" borderId="0" xfId="0" applyNumberFormat="1" applyFont="1" applyFill="1"/>
    <xf numFmtId="0" fontId="1" fillId="6" borderId="0" xfId="0" applyFont="1" applyFill="1"/>
    <xf numFmtId="9" fontId="1" fillId="6" borderId="0" xfId="0" applyNumberFormat="1" applyFont="1" applyFill="1"/>
    <xf numFmtId="3" fontId="1" fillId="6" borderId="0" xfId="0" applyNumberFormat="1" applyFont="1" applyFill="1"/>
    <xf numFmtId="0" fontId="2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114300</xdr:rowOff>
    </xdr:from>
    <xdr:to>
      <xdr:col>5</xdr:col>
      <xdr:colOff>221911</xdr:colOff>
      <xdr:row>3</xdr:row>
      <xdr:rowOff>38100</xdr:rowOff>
    </xdr:to>
    <xdr:pic>
      <xdr:nvPicPr>
        <xdr:cNvPr id="2" name="Picture 1" descr="webassets.mongodb.com/_com_assets/cms/mongodb_l...">
          <a:extLst>
            <a:ext uri="{FF2B5EF4-FFF2-40B4-BE49-F238E27FC236}">
              <a16:creationId xmlns:a16="http://schemas.microsoft.com/office/drawing/2014/main" id="{282B382D-258B-4C28-8CEF-157EE2BA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4300"/>
          <a:ext cx="15077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0</xdr:row>
      <xdr:rowOff>0</xdr:rowOff>
    </xdr:from>
    <xdr:to>
      <xdr:col>26</xdr:col>
      <xdr:colOff>9525</xdr:colOff>
      <xdr:row>108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38A8F7-E425-4B32-9431-AC4CC1F21B15}"/>
            </a:ext>
          </a:extLst>
        </xdr:cNvPr>
        <xdr:cNvCxnSpPr/>
      </xdr:nvCxnSpPr>
      <xdr:spPr>
        <a:xfrm>
          <a:off x="16992600" y="0"/>
          <a:ext cx="0" cy="17592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107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E59225-2260-40BB-8240-59ADFAA9D236}"/>
            </a:ext>
          </a:extLst>
        </xdr:cNvPr>
        <xdr:cNvCxnSpPr/>
      </xdr:nvCxnSpPr>
      <xdr:spPr>
        <a:xfrm>
          <a:off x="22469475" y="0"/>
          <a:ext cx="0" cy="174593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mongodb.com/financial-information/sec-filings?field_nir_sec_form_group_target_id%5B%5D=496&amp;field_nir_sec_date_filed_value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mongodb.com/node/10526/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investors.mongodb.com/static-files/9fa5e495-3da6-441e-9ab3-c58421e0cc37" TargetMode="External"/><Relationship Id="rId1" Type="http://schemas.openxmlformats.org/officeDocument/2006/relationships/hyperlink" Target="https://investors.mongodb.com/node/9541/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nvestors.mongodb.com/news-releases/news-release-details/mongodb-inc-announces-fourth-quarter-and-full-year-fiscal-2023" TargetMode="External"/><Relationship Id="rId4" Type="http://schemas.openxmlformats.org/officeDocument/2006/relationships/hyperlink" Target="https://investors.mongodb.com/node/9441/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B16A-4CA6-4CC0-B1CB-A0561C46DE09}">
  <dimension ref="A2:AB38"/>
  <sheetViews>
    <sheetView workbookViewId="0">
      <selection activeCell="C6" sqref="C6"/>
    </sheetView>
  </sheetViews>
  <sheetFormatPr defaultRowHeight="12.75" x14ac:dyDescent="0.2"/>
  <cols>
    <col min="1" max="16384" width="9.140625" style="1"/>
  </cols>
  <sheetData>
    <row r="2" spans="1:28" x14ac:dyDescent="0.2">
      <c r="B2" s="2" t="s">
        <v>0</v>
      </c>
      <c r="G2" s="20" t="s">
        <v>26</v>
      </c>
      <c r="H2" s="20"/>
      <c r="I2" s="20"/>
      <c r="J2" s="20"/>
    </row>
    <row r="3" spans="1:28" ht="12.75" customHeight="1" x14ac:dyDescent="0.25">
      <c r="B3" s="2" t="s">
        <v>13</v>
      </c>
      <c r="G3"/>
    </row>
    <row r="5" spans="1:28" x14ac:dyDescent="0.2">
      <c r="B5" s="76" t="s">
        <v>1</v>
      </c>
      <c r="C5" s="77"/>
      <c r="D5" s="78"/>
      <c r="G5" s="76" t="s">
        <v>25</v>
      </c>
      <c r="H5" s="77"/>
      <c r="I5" s="77"/>
      <c r="J5" s="77"/>
      <c r="K5" s="77"/>
      <c r="L5" s="77"/>
      <c r="M5" s="77"/>
      <c r="N5" s="77"/>
      <c r="O5" s="77"/>
      <c r="P5" s="77"/>
      <c r="Q5" s="78"/>
      <c r="T5" s="82" t="s">
        <v>34</v>
      </c>
      <c r="U5" s="82"/>
      <c r="V5" s="82"/>
      <c r="W5" s="82"/>
      <c r="Z5" s="82" t="s">
        <v>131</v>
      </c>
      <c r="AA5" s="82"/>
      <c r="AB5" s="82"/>
    </row>
    <row r="6" spans="1:28" x14ac:dyDescent="0.2">
      <c r="B6" s="3" t="s">
        <v>2</v>
      </c>
      <c r="C6" s="4">
        <v>207.67</v>
      </c>
      <c r="D6" s="10"/>
      <c r="G6" s="14"/>
      <c r="H6" s="16"/>
      <c r="I6" s="16"/>
      <c r="J6" s="16"/>
      <c r="K6" s="16"/>
      <c r="L6" s="16"/>
      <c r="M6" s="16"/>
      <c r="N6" s="16"/>
      <c r="O6" s="16"/>
      <c r="P6" s="16"/>
      <c r="Q6" s="17"/>
      <c r="T6" s="6"/>
      <c r="U6" s="6"/>
      <c r="V6" s="6"/>
      <c r="W6" s="6"/>
      <c r="Z6" s="22" t="s">
        <v>140</v>
      </c>
      <c r="AA6" s="6"/>
      <c r="AB6" s="6"/>
    </row>
    <row r="7" spans="1:28" x14ac:dyDescent="0.2">
      <c r="B7" s="3" t="s">
        <v>3</v>
      </c>
      <c r="C7" s="12">
        <f>'Financial Model'!Z23</f>
        <v>69.525238000000002</v>
      </c>
      <c r="D7" s="10" t="str">
        <f>$C$28</f>
        <v>FQ423</v>
      </c>
      <c r="G7" s="14"/>
      <c r="H7" s="16"/>
      <c r="I7" s="16"/>
      <c r="J7" s="16"/>
      <c r="K7" s="16"/>
      <c r="L7" s="16"/>
      <c r="M7" s="16"/>
      <c r="N7" s="16"/>
      <c r="O7" s="16"/>
      <c r="P7" s="16"/>
      <c r="Q7" s="17"/>
      <c r="T7" s="6"/>
      <c r="U7" s="6"/>
      <c r="V7" s="6"/>
      <c r="W7" s="6"/>
      <c r="Z7" s="43" t="s">
        <v>134</v>
      </c>
      <c r="AA7" s="43"/>
      <c r="AB7" s="6"/>
    </row>
    <row r="8" spans="1:28" x14ac:dyDescent="0.2">
      <c r="B8" s="3" t="s">
        <v>4</v>
      </c>
      <c r="C8" s="12">
        <f>C6*C7</f>
        <v>14438.30617546</v>
      </c>
      <c r="D8" s="10"/>
      <c r="G8" s="14"/>
      <c r="H8" s="16"/>
      <c r="I8" s="16"/>
      <c r="J8" s="16"/>
      <c r="K8" s="16"/>
      <c r="L8" s="16"/>
      <c r="M8" s="16"/>
      <c r="N8" s="16"/>
      <c r="O8" s="16"/>
      <c r="P8" s="16"/>
      <c r="Q8" s="17"/>
      <c r="T8" s="22" t="s">
        <v>35</v>
      </c>
      <c r="U8" s="6"/>
      <c r="V8" s="6"/>
      <c r="W8" s="6"/>
      <c r="Z8" s="43" t="s">
        <v>133</v>
      </c>
      <c r="AA8" s="44" t="s">
        <v>137</v>
      </c>
      <c r="AB8" s="6"/>
    </row>
    <row r="9" spans="1:28" x14ac:dyDescent="0.2">
      <c r="B9" s="3" t="s">
        <v>5</v>
      </c>
      <c r="C9" s="12">
        <f>'Financial Model'!Z72</f>
        <v>1836.63</v>
      </c>
      <c r="D9" s="10" t="str">
        <f t="shared" ref="D9:D11" si="0">$C$28</f>
        <v>FQ423</v>
      </c>
      <c r="G9" s="14"/>
      <c r="H9" s="16"/>
      <c r="I9" s="16"/>
      <c r="J9" s="16"/>
      <c r="K9" s="16"/>
      <c r="L9" s="16"/>
      <c r="M9" s="16"/>
      <c r="N9" s="16"/>
      <c r="O9" s="16"/>
      <c r="P9" s="16"/>
      <c r="Q9" s="17"/>
      <c r="T9" s="6"/>
      <c r="U9" s="6"/>
      <c r="V9" s="6"/>
      <c r="W9" s="6"/>
      <c r="Z9" s="44" t="s">
        <v>138</v>
      </c>
      <c r="AA9" s="45" t="s">
        <v>139</v>
      </c>
      <c r="AB9" s="6"/>
    </row>
    <row r="10" spans="1:28" x14ac:dyDescent="0.2">
      <c r="B10" s="3" t="s">
        <v>6</v>
      </c>
      <c r="C10" s="12">
        <f>'Financial Model'!Z73</f>
        <v>1139.8800000000001</v>
      </c>
      <c r="D10" s="10" t="str">
        <f t="shared" si="0"/>
        <v>FQ423</v>
      </c>
      <c r="G10" s="14"/>
      <c r="H10" s="16"/>
      <c r="I10" s="16"/>
      <c r="J10" s="16"/>
      <c r="K10" s="16"/>
      <c r="L10" s="16"/>
      <c r="M10" s="16"/>
      <c r="N10" s="16"/>
      <c r="O10" s="16"/>
      <c r="P10" s="16"/>
      <c r="Q10" s="17"/>
      <c r="T10" s="6"/>
      <c r="U10" s="6"/>
      <c r="V10" s="6"/>
      <c r="W10" s="6"/>
      <c r="Z10" s="43" t="s">
        <v>135</v>
      </c>
      <c r="AA10" s="44" t="s">
        <v>136</v>
      </c>
      <c r="AB10" s="6"/>
    </row>
    <row r="11" spans="1:28" x14ac:dyDescent="0.2">
      <c r="B11" s="3" t="s">
        <v>7</v>
      </c>
      <c r="C11" s="12">
        <f>C9-C10</f>
        <v>696.75</v>
      </c>
      <c r="D11" s="10" t="str">
        <f t="shared" si="0"/>
        <v>FQ423</v>
      </c>
      <c r="G11" s="14"/>
      <c r="H11" s="16"/>
      <c r="I11" s="16"/>
      <c r="J11" s="16"/>
      <c r="K11" s="16"/>
      <c r="L11" s="16"/>
      <c r="M11" s="16"/>
      <c r="N11" s="16"/>
      <c r="O11" s="16"/>
      <c r="P11" s="16"/>
      <c r="Q11" s="17"/>
      <c r="T11" s="6"/>
      <c r="U11" s="6"/>
      <c r="V11" s="6"/>
      <c r="W11" s="6"/>
      <c r="Z11" s="43" t="s">
        <v>132</v>
      </c>
      <c r="AA11" s="43"/>
      <c r="AB11" s="6"/>
    </row>
    <row r="12" spans="1:28" x14ac:dyDescent="0.2">
      <c r="B12" s="5" t="s">
        <v>8</v>
      </c>
      <c r="C12" s="13">
        <f>C8-C11</f>
        <v>13741.55617546</v>
      </c>
      <c r="D12" s="11"/>
      <c r="G12" s="14"/>
      <c r="H12" s="16"/>
      <c r="I12" s="16"/>
      <c r="J12" s="16"/>
      <c r="K12" s="16"/>
      <c r="L12" s="16"/>
      <c r="M12" s="16"/>
      <c r="N12" s="16"/>
      <c r="O12" s="16"/>
      <c r="P12" s="16"/>
      <c r="Q12" s="17"/>
      <c r="T12" s="6"/>
      <c r="U12" s="6"/>
      <c r="V12" s="6"/>
      <c r="W12" s="6"/>
      <c r="Z12" s="6"/>
      <c r="AA12" s="6"/>
      <c r="AB12" s="6"/>
    </row>
    <row r="13" spans="1:28" x14ac:dyDescent="0.2"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7"/>
      <c r="T13" s="6"/>
      <c r="U13" s="6"/>
      <c r="V13" s="6"/>
      <c r="W13" s="6"/>
      <c r="Z13" s="6"/>
      <c r="AA13" s="6"/>
      <c r="AB13" s="6"/>
    </row>
    <row r="14" spans="1:28" x14ac:dyDescent="0.2"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7"/>
      <c r="T14" s="6"/>
      <c r="U14" s="6"/>
      <c r="V14" s="6"/>
      <c r="W14" s="6"/>
      <c r="Z14" s="6"/>
      <c r="AA14" s="6"/>
      <c r="AB14" s="6"/>
    </row>
    <row r="15" spans="1:28" x14ac:dyDescent="0.2">
      <c r="B15" s="76" t="s">
        <v>9</v>
      </c>
      <c r="C15" s="77"/>
      <c r="D15" s="78"/>
      <c r="G15" s="14"/>
      <c r="H15" s="16"/>
      <c r="I15" s="16"/>
      <c r="J15" s="16"/>
      <c r="K15" s="16"/>
      <c r="L15" s="16"/>
      <c r="M15" s="16"/>
      <c r="N15" s="16"/>
      <c r="O15" s="16"/>
      <c r="P15" s="16"/>
      <c r="Q15" s="17"/>
      <c r="T15" s="6"/>
      <c r="U15" s="6"/>
      <c r="V15" s="6"/>
      <c r="W15" s="6"/>
      <c r="Z15" s="6"/>
      <c r="AA15" s="6"/>
      <c r="AB15" s="6"/>
    </row>
    <row r="16" spans="1:28" x14ac:dyDescent="0.2">
      <c r="A16" s="21"/>
      <c r="B16" s="7" t="s">
        <v>10</v>
      </c>
      <c r="C16" s="74" t="s">
        <v>27</v>
      </c>
      <c r="D16" s="75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7"/>
      <c r="T16" s="6"/>
      <c r="U16" s="6"/>
      <c r="V16" s="6"/>
      <c r="W16" s="6"/>
      <c r="Z16" s="6"/>
      <c r="AA16" s="6"/>
      <c r="AB16" s="6"/>
    </row>
    <row r="17" spans="1:28" x14ac:dyDescent="0.2">
      <c r="A17" s="21" t="s">
        <v>12</v>
      </c>
      <c r="B17" s="7" t="s">
        <v>11</v>
      </c>
      <c r="C17" s="74" t="s">
        <v>31</v>
      </c>
      <c r="D17" s="75"/>
      <c r="G17" s="14"/>
      <c r="H17" s="16"/>
      <c r="I17" s="16"/>
      <c r="J17" s="16"/>
      <c r="K17" s="16"/>
      <c r="L17" s="16"/>
      <c r="M17" s="16"/>
      <c r="N17" s="16"/>
      <c r="O17" s="16"/>
      <c r="P17" s="16"/>
      <c r="Q17" s="17"/>
      <c r="T17" s="6"/>
      <c r="U17" s="6"/>
      <c r="V17" s="6"/>
      <c r="W17" s="6"/>
      <c r="Z17" s="6"/>
      <c r="AA17" s="6"/>
      <c r="AB17" s="6"/>
    </row>
    <row r="18" spans="1:28" x14ac:dyDescent="0.2">
      <c r="A18" s="21"/>
      <c r="B18" s="7" t="s">
        <v>32</v>
      </c>
      <c r="C18" s="74" t="s">
        <v>33</v>
      </c>
      <c r="D18" s="75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28" x14ac:dyDescent="0.2">
      <c r="A19" s="21" t="s">
        <v>29</v>
      </c>
      <c r="B19" s="9" t="s">
        <v>28</v>
      </c>
      <c r="C19" s="85" t="s">
        <v>30</v>
      </c>
      <c r="D19" s="86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7"/>
      <c r="Y19" s="1" t="s">
        <v>144</v>
      </c>
    </row>
    <row r="20" spans="1:28" x14ac:dyDescent="0.2"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28" x14ac:dyDescent="0.2"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28" x14ac:dyDescent="0.2">
      <c r="B22" s="76" t="s">
        <v>14</v>
      </c>
      <c r="C22" s="77"/>
      <c r="D22" s="78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28" x14ac:dyDescent="0.2">
      <c r="B23" s="14" t="s">
        <v>15</v>
      </c>
      <c r="C23" s="74" t="s">
        <v>141</v>
      </c>
      <c r="D23" s="75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28" x14ac:dyDescent="0.2">
      <c r="B24" s="14" t="s">
        <v>16</v>
      </c>
      <c r="C24" s="74">
        <v>2007</v>
      </c>
      <c r="D24" s="75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28" x14ac:dyDescent="0.2">
      <c r="B25" s="14" t="s">
        <v>72</v>
      </c>
      <c r="C25" s="74">
        <v>2017</v>
      </c>
      <c r="D25" s="75"/>
      <c r="G25" s="14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28" x14ac:dyDescent="0.2">
      <c r="B26" s="14" t="s">
        <v>156</v>
      </c>
      <c r="C26" s="81">
        <f>'Financial Model'!AI35</f>
        <v>3544</v>
      </c>
      <c r="D26" s="75"/>
      <c r="G26" s="14"/>
      <c r="H26" s="16"/>
      <c r="I26" s="16"/>
      <c r="J26" s="16"/>
      <c r="K26" s="16"/>
      <c r="L26" s="16"/>
      <c r="M26" s="16"/>
      <c r="N26" s="16"/>
      <c r="O26" s="16"/>
      <c r="P26" s="16"/>
      <c r="Q26" s="17"/>
    </row>
    <row r="27" spans="1:28" x14ac:dyDescent="0.2">
      <c r="B27" s="14"/>
      <c r="C27" s="74"/>
      <c r="D27" s="75"/>
      <c r="G27" s="14"/>
      <c r="H27" s="16"/>
      <c r="I27" s="16"/>
      <c r="J27" s="16"/>
      <c r="K27" s="16"/>
      <c r="L27" s="16"/>
      <c r="M27" s="16"/>
      <c r="N27" s="16"/>
      <c r="O27" s="16"/>
      <c r="P27" s="16"/>
      <c r="Q27" s="17"/>
    </row>
    <row r="28" spans="1:28" x14ac:dyDescent="0.2">
      <c r="B28" s="14" t="s">
        <v>17</v>
      </c>
      <c r="C28" s="8" t="s">
        <v>90</v>
      </c>
      <c r="D28" s="26">
        <v>44994</v>
      </c>
      <c r="G28" s="14"/>
      <c r="H28" s="16"/>
      <c r="I28" s="16"/>
      <c r="J28" s="16"/>
      <c r="K28" s="16"/>
      <c r="L28" s="16"/>
      <c r="M28" s="16"/>
      <c r="N28" s="16"/>
      <c r="O28" s="16"/>
      <c r="P28" s="16"/>
      <c r="Q28" s="17"/>
    </row>
    <row r="29" spans="1:28" x14ac:dyDescent="0.2">
      <c r="B29" s="15" t="s">
        <v>18</v>
      </c>
      <c r="C29" s="83" t="s">
        <v>130</v>
      </c>
      <c r="D29" s="84"/>
      <c r="G29" s="14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28" x14ac:dyDescent="0.2">
      <c r="G30" s="14"/>
      <c r="H30" s="16"/>
      <c r="I30" s="16"/>
      <c r="J30" s="16"/>
      <c r="K30" s="16"/>
      <c r="L30" s="16"/>
      <c r="M30" s="16"/>
      <c r="N30" s="16"/>
      <c r="O30" s="16"/>
      <c r="P30" s="16"/>
      <c r="Q30" s="17"/>
    </row>
    <row r="31" spans="1:28" x14ac:dyDescent="0.2">
      <c r="G31" s="14"/>
      <c r="H31" s="16"/>
      <c r="I31" s="16"/>
      <c r="J31" s="16"/>
      <c r="K31" s="16"/>
      <c r="L31" s="16"/>
      <c r="M31" s="16"/>
      <c r="N31" s="16"/>
      <c r="O31" s="16"/>
      <c r="P31" s="16"/>
      <c r="Q31" s="17"/>
    </row>
    <row r="32" spans="1:28" x14ac:dyDescent="0.2">
      <c r="B32" s="76" t="s">
        <v>19</v>
      </c>
      <c r="C32" s="77"/>
      <c r="D32" s="78"/>
      <c r="G32" s="14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2:17" x14ac:dyDescent="0.2">
      <c r="B33" s="14" t="s">
        <v>21</v>
      </c>
      <c r="C33" s="79">
        <f>C6/'Financial Model'!Z70</f>
        <v>19.524205519696878</v>
      </c>
      <c r="D33" s="80"/>
      <c r="G33" s="14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2:17" x14ac:dyDescent="0.2">
      <c r="B34" s="14" t="s">
        <v>22</v>
      </c>
      <c r="C34" s="79">
        <f>C8/SUM('Financial Model'!W6:Z6)</f>
        <v>11.244436447042149</v>
      </c>
      <c r="D34" s="80"/>
      <c r="G34" s="14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2:17" x14ac:dyDescent="0.2">
      <c r="B35" s="14" t="s">
        <v>23</v>
      </c>
      <c r="C35" s="79">
        <f>C12/SUM('Financial Model'!W6:Z6)</f>
        <v>10.701813164278372</v>
      </c>
      <c r="D35" s="80"/>
      <c r="G35" s="14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spans="2:17" x14ac:dyDescent="0.2">
      <c r="B36" s="14" t="s">
        <v>20</v>
      </c>
      <c r="C36" s="79">
        <f>-C6/'Financial Model'!AJ22</f>
        <v>38.818420649337853</v>
      </c>
      <c r="D36" s="80"/>
      <c r="G36" s="14">
        <v>2013</v>
      </c>
      <c r="H36" s="16" t="s">
        <v>73</v>
      </c>
      <c r="I36" s="16"/>
      <c r="J36" s="16"/>
      <c r="K36" s="16"/>
      <c r="L36" s="16"/>
      <c r="M36" s="16"/>
      <c r="N36" s="16"/>
      <c r="O36" s="16"/>
      <c r="P36" s="16"/>
      <c r="Q36" s="17"/>
    </row>
    <row r="37" spans="2:17" x14ac:dyDescent="0.2">
      <c r="B37" s="14" t="s">
        <v>24</v>
      </c>
      <c r="C37" s="79">
        <f>C12/SUM('Financial Model'!W21:Z21)</f>
        <v>-39.784701056346599</v>
      </c>
      <c r="D37" s="80"/>
      <c r="G37" s="14"/>
      <c r="H37" s="27" t="s">
        <v>74</v>
      </c>
      <c r="I37" s="16"/>
      <c r="J37" s="16"/>
      <c r="K37" s="16"/>
      <c r="L37" s="16"/>
      <c r="M37" s="16"/>
      <c r="N37" s="16"/>
      <c r="O37" s="16"/>
      <c r="P37" s="16"/>
      <c r="Q37" s="17"/>
    </row>
    <row r="38" spans="2:17" x14ac:dyDescent="0.2">
      <c r="B38" s="14"/>
      <c r="C38" s="74"/>
      <c r="D38" s="75"/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9"/>
    </row>
  </sheetData>
  <mergeCells count="23">
    <mergeCell ref="Z5:AB5"/>
    <mergeCell ref="T5:W5"/>
    <mergeCell ref="C27:D27"/>
    <mergeCell ref="C29:D29"/>
    <mergeCell ref="B32:D32"/>
    <mergeCell ref="B5:D5"/>
    <mergeCell ref="B15:D15"/>
    <mergeCell ref="C16:D16"/>
    <mergeCell ref="C17:D17"/>
    <mergeCell ref="C18:D18"/>
    <mergeCell ref="C19:D19"/>
    <mergeCell ref="C35:D35"/>
    <mergeCell ref="C36:D36"/>
    <mergeCell ref="C37:D37"/>
    <mergeCell ref="C38:D38"/>
    <mergeCell ref="G5:Q5"/>
    <mergeCell ref="C34:D34"/>
    <mergeCell ref="C33:D33"/>
    <mergeCell ref="B22:D22"/>
    <mergeCell ref="C23:D23"/>
    <mergeCell ref="C24:D24"/>
    <mergeCell ref="C25:D25"/>
    <mergeCell ref="C26:D26"/>
  </mergeCells>
  <hyperlinks>
    <hyperlink ref="C29:D29" r:id="rId1" location="views-exposed-form-widget-sec-filings-table" display="Link" xr:uid="{8C8DCE07-3950-4AA9-A781-B1A96427FDB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013-A317-41E1-99F6-617E09116884}">
  <dimension ref="B1:CW93"/>
  <sheetViews>
    <sheetView tabSelected="1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AB16" sqref="AB16"/>
    </sheetView>
  </sheetViews>
  <sheetFormatPr defaultRowHeight="12.75" x14ac:dyDescent="0.2"/>
  <cols>
    <col min="1" max="1" width="5.140625" style="1" customWidth="1"/>
    <col min="2" max="2" width="30.140625" style="1" bestFit="1" customWidth="1"/>
    <col min="3" max="25" width="9.140625" style="1"/>
    <col min="26" max="26" width="9.140625" style="106"/>
    <col min="27" max="27" width="9.140625" style="117"/>
    <col min="28" max="35" width="9.140625" style="1"/>
    <col min="36" max="36" width="9.140625" style="99"/>
    <col min="37" max="37" width="9.140625" style="49"/>
    <col min="38" max="46" width="9.140625" style="1"/>
    <col min="47" max="47" width="17.5703125" style="1" bestFit="1" customWidth="1"/>
    <col min="48" max="16384" width="9.140625" style="1"/>
  </cols>
  <sheetData>
    <row r="1" spans="2:45" s="23" customFormat="1" x14ac:dyDescent="0.2"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35" t="s">
        <v>75</v>
      </c>
      <c r="X1" s="35" t="s">
        <v>89</v>
      </c>
      <c r="Y1" s="35" t="s">
        <v>71</v>
      </c>
      <c r="Z1" s="108" t="s">
        <v>90</v>
      </c>
      <c r="AA1" s="112" t="s">
        <v>160</v>
      </c>
      <c r="AB1" s="23" t="s">
        <v>161</v>
      </c>
      <c r="AE1" s="23" t="s">
        <v>56</v>
      </c>
      <c r="AF1" s="23" t="s">
        <v>57</v>
      </c>
      <c r="AG1" s="23" t="s">
        <v>58</v>
      </c>
      <c r="AH1" s="23" t="s">
        <v>59</v>
      </c>
      <c r="AI1" s="35" t="s">
        <v>60</v>
      </c>
      <c r="AJ1" s="109" t="s">
        <v>61</v>
      </c>
      <c r="AK1" s="51" t="s">
        <v>62</v>
      </c>
      <c r="AL1" s="23" t="s">
        <v>63</v>
      </c>
      <c r="AM1" s="23" t="s">
        <v>64</v>
      </c>
      <c r="AN1" s="23" t="s">
        <v>65</v>
      </c>
      <c r="AO1" s="23" t="s">
        <v>66</v>
      </c>
      <c r="AP1" s="23" t="s">
        <v>67</v>
      </c>
      <c r="AQ1" s="23" t="s">
        <v>68</v>
      </c>
      <c r="AR1" s="23" t="s">
        <v>69</v>
      </c>
      <c r="AS1" s="23" t="s">
        <v>70</v>
      </c>
    </row>
    <row r="2" spans="2:45" s="24" customFormat="1" x14ac:dyDescent="0.2">
      <c r="B2" s="25"/>
      <c r="R2" s="28">
        <v>44227</v>
      </c>
      <c r="S2" s="28">
        <v>44316</v>
      </c>
      <c r="T2" s="28">
        <v>44408</v>
      </c>
      <c r="U2" s="28">
        <v>44500</v>
      </c>
      <c r="V2" s="28">
        <v>44592</v>
      </c>
      <c r="W2" s="28">
        <v>44681</v>
      </c>
      <c r="X2" s="28">
        <v>44773</v>
      </c>
      <c r="Y2" s="28">
        <v>44865</v>
      </c>
      <c r="Z2" s="97">
        <v>44957</v>
      </c>
      <c r="AA2" s="113"/>
      <c r="AH2" s="28">
        <v>44227</v>
      </c>
      <c r="AI2" s="28">
        <v>44592</v>
      </c>
      <c r="AJ2" s="28">
        <v>44957</v>
      </c>
      <c r="AK2" s="50" t="s">
        <v>143</v>
      </c>
    </row>
    <row r="3" spans="2:45" s="24" customFormat="1" x14ac:dyDescent="0.2">
      <c r="B3" s="25"/>
      <c r="Z3" s="98">
        <v>39873</v>
      </c>
      <c r="AA3" s="113"/>
      <c r="AI3" s="46">
        <v>44638</v>
      </c>
      <c r="AJ3" s="46">
        <v>44994</v>
      </c>
      <c r="AK3" s="50"/>
    </row>
    <row r="4" spans="2:45" s="38" customFormat="1" x14ac:dyDescent="0.2">
      <c r="B4" s="29" t="s">
        <v>80</v>
      </c>
      <c r="R4" s="34">
        <f>AH4-SUM(O4:Q4)</f>
        <v>565.34900000000005</v>
      </c>
      <c r="S4" s="34">
        <v>174.57</v>
      </c>
      <c r="T4" s="38">
        <v>191.381</v>
      </c>
      <c r="U4" s="34">
        <v>217.87100000000001</v>
      </c>
      <c r="V4" s="34">
        <f>AI4-SUM(S4:U4)</f>
        <v>258.22500000000002</v>
      </c>
      <c r="W4" s="34">
        <v>274.58100000000002</v>
      </c>
      <c r="X4" s="42">
        <v>291.60700000000003</v>
      </c>
      <c r="Y4" s="34">
        <v>320.75599999999997</v>
      </c>
      <c r="Z4" s="99">
        <v>348.178</v>
      </c>
      <c r="AA4" s="49"/>
      <c r="AG4" s="38">
        <f>SUM(K4:N4)</f>
        <v>0</v>
      </c>
      <c r="AH4" s="38">
        <v>565.34900000000005</v>
      </c>
      <c r="AI4" s="34">
        <v>842.04700000000003</v>
      </c>
      <c r="AJ4" s="99">
        <f>SUM(W4:Z4)</f>
        <v>1235.1220000000001</v>
      </c>
      <c r="AK4" s="49"/>
    </row>
    <row r="5" spans="2:45" s="38" customFormat="1" x14ac:dyDescent="0.2">
      <c r="B5" s="29" t="s">
        <v>81</v>
      </c>
      <c r="R5" s="34">
        <f>AH5-SUM(O5:Q5)</f>
        <v>25.030999999999999</v>
      </c>
      <c r="S5" s="34">
        <v>7.0780000000000003</v>
      </c>
      <c r="T5" s="38">
        <v>7.3659999999999997</v>
      </c>
      <c r="U5" s="34">
        <v>9.0220000000000002</v>
      </c>
      <c r="V5" s="34">
        <f>AI5-SUM(S5:U5)</f>
        <v>8.2689999999999984</v>
      </c>
      <c r="W5" s="34">
        <v>10.866</v>
      </c>
      <c r="X5" s="42">
        <v>12.053000000000001</v>
      </c>
      <c r="Y5" s="34">
        <v>12.865</v>
      </c>
      <c r="Z5" s="99">
        <v>13.134</v>
      </c>
      <c r="AA5" s="49"/>
      <c r="AG5" s="38">
        <f>SUM(K5:N5)</f>
        <v>0</v>
      </c>
      <c r="AH5" s="38">
        <v>25.030999999999999</v>
      </c>
      <c r="AI5" s="34">
        <v>31.734999999999999</v>
      </c>
      <c r="AJ5" s="99">
        <f>SUM(W5:Z5)</f>
        <v>48.917999999999999</v>
      </c>
      <c r="AK5" s="49"/>
    </row>
    <row r="6" spans="2:45" s="2" customFormat="1" x14ac:dyDescent="0.2">
      <c r="B6" s="2" t="s">
        <v>76</v>
      </c>
      <c r="R6" s="31">
        <f t="shared" ref="R6:Y6" si="0">R4+R5</f>
        <v>590.38</v>
      </c>
      <c r="S6" s="31">
        <f t="shared" si="0"/>
        <v>181.648</v>
      </c>
      <c r="T6" s="31">
        <f t="shared" si="0"/>
        <v>198.74700000000001</v>
      </c>
      <c r="U6" s="31">
        <f t="shared" si="0"/>
        <v>226.893</v>
      </c>
      <c r="V6" s="31">
        <f t="shared" si="0"/>
        <v>266.49400000000003</v>
      </c>
      <c r="W6" s="31">
        <f t="shared" si="0"/>
        <v>285.447</v>
      </c>
      <c r="X6" s="41">
        <f t="shared" si="0"/>
        <v>303.66000000000003</v>
      </c>
      <c r="Y6" s="31">
        <f t="shared" si="0"/>
        <v>333.62099999999998</v>
      </c>
      <c r="Z6" s="100">
        <f>Z4+Z5</f>
        <v>361.31200000000001</v>
      </c>
      <c r="AA6" s="120"/>
      <c r="AG6" s="41">
        <f>AG4+AG5</f>
        <v>0</v>
      </c>
      <c r="AH6" s="41">
        <f>AH4+AH5</f>
        <v>590.38</v>
      </c>
      <c r="AI6" s="41">
        <f>AI4+AI5</f>
        <v>873.78200000000004</v>
      </c>
      <c r="AJ6" s="110">
        <f>SUM(W6:Z6)</f>
        <v>1284.04</v>
      </c>
      <c r="AK6" s="52">
        <f>AJ6*(1+AK26)</f>
        <v>1926.06</v>
      </c>
      <c r="AL6" s="31">
        <f t="shared" ref="AL6:AS6" si="1">AK6*(1+AL26)</f>
        <v>2889.09</v>
      </c>
      <c r="AM6" s="31">
        <f t="shared" si="1"/>
        <v>4044.7260000000001</v>
      </c>
      <c r="AN6" s="31">
        <f t="shared" si="1"/>
        <v>5258.1438000000007</v>
      </c>
      <c r="AO6" s="31">
        <f t="shared" si="1"/>
        <v>6572.6797500000011</v>
      </c>
      <c r="AP6" s="31">
        <f t="shared" si="1"/>
        <v>7887.2157000000007</v>
      </c>
      <c r="AQ6" s="31">
        <f t="shared" si="1"/>
        <v>9070.2980549999993</v>
      </c>
      <c r="AR6" s="31">
        <f t="shared" si="1"/>
        <v>9977.3278604999996</v>
      </c>
      <c r="AS6" s="31">
        <f t="shared" si="1"/>
        <v>10476.194253525</v>
      </c>
    </row>
    <row r="7" spans="2:45" s="38" customFormat="1" x14ac:dyDescent="0.2">
      <c r="B7" s="29" t="s">
        <v>78</v>
      </c>
      <c r="R7" s="34">
        <f t="shared" ref="R7:R8" si="2">AH7-SUM(O7:Q7)</f>
        <v>145.28</v>
      </c>
      <c r="S7" s="38">
        <v>45.402000000000001</v>
      </c>
      <c r="T7" s="38">
        <v>50.954999999999998</v>
      </c>
      <c r="U7" s="34">
        <v>57.378</v>
      </c>
      <c r="V7" s="34">
        <f t="shared" ref="V7:V8" si="3">AI7-SUM(S7:U7)</f>
        <v>64.165999999999997</v>
      </c>
      <c r="W7" s="38">
        <v>64.569000000000003</v>
      </c>
      <c r="X7" s="42">
        <v>71.435000000000002</v>
      </c>
      <c r="Y7" s="34">
        <v>77.150000000000006</v>
      </c>
      <c r="Z7" s="99">
        <v>71.429000000000002</v>
      </c>
      <c r="AA7" s="49"/>
      <c r="AH7" s="38">
        <v>145.28</v>
      </c>
      <c r="AI7" s="38">
        <v>217.90100000000001</v>
      </c>
      <c r="AJ7" s="99">
        <f>SUM(W7:Z7)</f>
        <v>284.58300000000003</v>
      </c>
      <c r="AK7" s="49"/>
    </row>
    <row r="8" spans="2:45" s="38" customFormat="1" x14ac:dyDescent="0.2">
      <c r="B8" s="29" t="s">
        <v>79</v>
      </c>
      <c r="R8" s="34">
        <f t="shared" si="2"/>
        <v>31.795999999999999</v>
      </c>
      <c r="S8" s="38">
        <v>9.1259999999999994</v>
      </c>
      <c r="T8" s="38">
        <v>9.7469999999999999</v>
      </c>
      <c r="U8" s="34">
        <v>11.086</v>
      </c>
      <c r="V8" s="34">
        <f t="shared" si="3"/>
        <v>11.632000000000005</v>
      </c>
      <c r="W8" s="38">
        <v>13.646000000000001</v>
      </c>
      <c r="X8" s="42">
        <v>16.841999999999999</v>
      </c>
      <c r="Y8" s="34">
        <v>16.501999999999999</v>
      </c>
      <c r="Z8" s="99">
        <v>17.731000000000002</v>
      </c>
      <c r="AA8" s="49"/>
      <c r="AH8" s="38">
        <v>31.795999999999999</v>
      </c>
      <c r="AI8" s="38">
        <v>41.591000000000001</v>
      </c>
      <c r="AJ8" s="99">
        <f>SUM(W8:Z8)</f>
        <v>64.721000000000004</v>
      </c>
      <c r="AK8" s="49"/>
    </row>
    <row r="9" spans="2:45" x14ac:dyDescent="0.2">
      <c r="B9" s="1" t="s">
        <v>77</v>
      </c>
      <c r="R9" s="30">
        <f t="shared" ref="R9" si="4">R7+R8</f>
        <v>177.07599999999999</v>
      </c>
      <c r="S9" s="1">
        <f>S7+S8</f>
        <v>54.527999999999999</v>
      </c>
      <c r="T9" s="1">
        <f t="shared" ref="T9:U9" si="5">T7+T8</f>
        <v>60.701999999999998</v>
      </c>
      <c r="U9" s="30">
        <f t="shared" si="5"/>
        <v>68.463999999999999</v>
      </c>
      <c r="V9" s="1">
        <f>V7+V8</f>
        <v>75.798000000000002</v>
      </c>
      <c r="W9" s="1">
        <f>W7+W8</f>
        <v>78.215000000000003</v>
      </c>
      <c r="X9" s="39">
        <f t="shared" ref="X9:Y9" si="6">X7+X8</f>
        <v>88.277000000000001</v>
      </c>
      <c r="Y9" s="30">
        <f t="shared" si="6"/>
        <v>93.652000000000001</v>
      </c>
      <c r="Z9" s="101">
        <f>Z7+Z8</f>
        <v>89.16</v>
      </c>
      <c r="AH9" s="30">
        <f t="shared" ref="AH9:AI9" si="7">AH7+AH8</f>
        <v>177.07599999999999</v>
      </c>
      <c r="AI9" s="30">
        <f t="shared" si="7"/>
        <v>259.49200000000002</v>
      </c>
      <c r="AJ9" s="99">
        <f>SUM(W9:Z9)</f>
        <v>349.30399999999997</v>
      </c>
      <c r="AK9" s="54">
        <f>AK6*(1-AK29)</f>
        <v>539.29680000000008</v>
      </c>
      <c r="AL9" s="30">
        <f t="shared" ref="AL9:AS9" si="8">AL6*(1-AL29)</f>
        <v>808.94520000000011</v>
      </c>
      <c r="AM9" s="30">
        <f t="shared" si="8"/>
        <v>1132.5232800000001</v>
      </c>
      <c r="AN9" s="30">
        <f t="shared" si="8"/>
        <v>1472.2802640000004</v>
      </c>
      <c r="AO9" s="30">
        <f t="shared" si="8"/>
        <v>1840.3503300000004</v>
      </c>
      <c r="AP9" s="30">
        <f t="shared" si="8"/>
        <v>2208.4203960000004</v>
      </c>
      <c r="AQ9" s="30">
        <f t="shared" si="8"/>
        <v>2539.6834554000002</v>
      </c>
      <c r="AR9" s="30">
        <f t="shared" si="8"/>
        <v>2793.6518009400002</v>
      </c>
      <c r="AS9" s="30">
        <f t="shared" si="8"/>
        <v>2933.3343909870005</v>
      </c>
    </row>
    <row r="10" spans="2:45" s="2" customFormat="1" x14ac:dyDescent="0.2">
      <c r="B10" s="2" t="s">
        <v>82</v>
      </c>
      <c r="R10" s="31">
        <f t="shared" ref="R10" si="9">R6-R9</f>
        <v>413.30399999999997</v>
      </c>
      <c r="S10" s="31">
        <f>S6-S9</f>
        <v>127.12</v>
      </c>
      <c r="T10" s="31">
        <f t="shared" ref="T10:U10" si="10">T6-T9</f>
        <v>138.04500000000002</v>
      </c>
      <c r="U10" s="31">
        <f t="shared" si="10"/>
        <v>158.429</v>
      </c>
      <c r="V10" s="31">
        <f>V6-V9</f>
        <v>190.69600000000003</v>
      </c>
      <c r="W10" s="31">
        <f>W6-W9</f>
        <v>207.232</v>
      </c>
      <c r="X10" s="41">
        <f t="shared" ref="X10:Y10" si="11">X6-X9</f>
        <v>215.38300000000004</v>
      </c>
      <c r="Y10" s="31">
        <f t="shared" si="11"/>
        <v>239.96899999999999</v>
      </c>
      <c r="Z10" s="100">
        <f>Z6-Z9</f>
        <v>272.15200000000004</v>
      </c>
      <c r="AA10" s="120"/>
      <c r="AH10" s="31">
        <f t="shared" ref="AH10:AI10" si="12">AH6-AH9</f>
        <v>413.30399999999997</v>
      </c>
      <c r="AI10" s="31">
        <f t="shared" si="12"/>
        <v>614.29</v>
      </c>
      <c r="AJ10" s="110">
        <f>AJ6-AJ9</f>
        <v>934.73599999999999</v>
      </c>
      <c r="AK10" s="52">
        <f>AK6-AK9</f>
        <v>1386.7631999999999</v>
      </c>
      <c r="AL10" s="31">
        <f t="shared" ref="AL10:AS10" si="13">AL6-AL9</f>
        <v>2080.1448</v>
      </c>
      <c r="AM10" s="31">
        <f t="shared" si="13"/>
        <v>2912.2027200000002</v>
      </c>
      <c r="AN10" s="31">
        <f t="shared" si="13"/>
        <v>3785.8635360000003</v>
      </c>
      <c r="AO10" s="31">
        <f t="shared" si="13"/>
        <v>4732.3294200000009</v>
      </c>
      <c r="AP10" s="31">
        <f t="shared" si="13"/>
        <v>5678.7953040000002</v>
      </c>
      <c r="AQ10" s="31">
        <f t="shared" si="13"/>
        <v>6530.6145995999996</v>
      </c>
      <c r="AR10" s="31">
        <f t="shared" si="13"/>
        <v>7183.676059559999</v>
      </c>
      <c r="AS10" s="31">
        <f t="shared" si="13"/>
        <v>7542.859862538</v>
      </c>
    </row>
    <row r="11" spans="2:45" s="30" customFormat="1" x14ac:dyDescent="0.2">
      <c r="B11" s="30" t="s">
        <v>91</v>
      </c>
      <c r="R11" s="30">
        <f t="shared" ref="R11:R13" si="14">AH11-SUM(O11:Q11)</f>
        <v>325.10000000000002</v>
      </c>
      <c r="S11" s="30">
        <v>97.89</v>
      </c>
      <c r="T11" s="30">
        <v>109.377</v>
      </c>
      <c r="U11" s="30">
        <v>120.36</v>
      </c>
      <c r="V11" s="30">
        <f>AI11-SUM(S11:U11)</f>
        <v>144.26299999999998</v>
      </c>
      <c r="W11" s="30">
        <v>150.268</v>
      </c>
      <c r="X11" s="30">
        <v>181.59800000000001</v>
      </c>
      <c r="Y11" s="30">
        <v>177.41900000000001</v>
      </c>
      <c r="Z11" s="101">
        <v>189.916</v>
      </c>
      <c r="AA11" s="115"/>
      <c r="AB11" s="36"/>
      <c r="AC11" s="36"/>
      <c r="AD11" s="36"/>
      <c r="AE11" s="36"/>
      <c r="AF11" s="36"/>
      <c r="AH11" s="30">
        <v>325.10000000000002</v>
      </c>
      <c r="AI11" s="30">
        <v>471.89</v>
      </c>
      <c r="AJ11" s="99">
        <f>SUM(W11:Z11)</f>
        <v>699.20100000000002</v>
      </c>
      <c r="AK11" s="54">
        <f>AK6*0.5</f>
        <v>963.03</v>
      </c>
      <c r="AL11" s="30">
        <f>AL6*0.45</f>
        <v>1300.0905</v>
      </c>
      <c r="AM11" s="30">
        <f t="shared" ref="AM11:AN11" si="15">AM6*0.45</f>
        <v>1820.1267</v>
      </c>
      <c r="AN11" s="30">
        <f t="shared" si="15"/>
        <v>2366.1647100000005</v>
      </c>
      <c r="AO11" s="30">
        <f>AO6*0.35</f>
        <v>2300.4379125</v>
      </c>
      <c r="AP11" s="30">
        <f t="shared" ref="AP11:AS11" si="16">AP6*0.35</f>
        <v>2760.5254949999999</v>
      </c>
      <c r="AQ11" s="30">
        <f t="shared" si="16"/>
        <v>3174.6043192499997</v>
      </c>
      <c r="AR11" s="30">
        <f t="shared" si="16"/>
        <v>3492.0647511749999</v>
      </c>
      <c r="AS11" s="30">
        <f t="shared" si="16"/>
        <v>3666.6679887337496</v>
      </c>
    </row>
    <row r="12" spans="2:45" s="30" customFormat="1" x14ac:dyDescent="0.2">
      <c r="B12" s="30" t="s">
        <v>92</v>
      </c>
      <c r="R12" s="30">
        <f t="shared" si="14"/>
        <v>205.161</v>
      </c>
      <c r="S12" s="30">
        <v>64.751000000000005</v>
      </c>
      <c r="T12" s="30">
        <v>72.396000000000001</v>
      </c>
      <c r="U12" s="30">
        <v>82.256</v>
      </c>
      <c r="V12" s="30">
        <f t="shared" ref="V12:V13" si="17">AI12-SUM(S12:U12)</f>
        <v>89.417000000000002</v>
      </c>
      <c r="W12" s="30">
        <v>96.372</v>
      </c>
      <c r="X12" s="30">
        <v>108.03700000000001</v>
      </c>
      <c r="Y12" s="30">
        <v>106.392</v>
      </c>
      <c r="Z12" s="101">
        <v>110.89100000000001</v>
      </c>
      <c r="AA12" s="115"/>
      <c r="AB12" s="36"/>
      <c r="AC12" s="36"/>
      <c r="AD12" s="36"/>
      <c r="AE12" s="36"/>
      <c r="AF12" s="36"/>
      <c r="AH12" s="30">
        <v>205.161</v>
      </c>
      <c r="AI12" s="30">
        <v>308.82</v>
      </c>
      <c r="AJ12" s="99">
        <f>SUM(W12:Z12)</f>
        <v>421.69200000000001</v>
      </c>
      <c r="AK12" s="54">
        <f>AK6*0.28</f>
        <v>539.29680000000008</v>
      </c>
      <c r="AL12" s="30">
        <f>AL6*0.26</f>
        <v>751.16340000000002</v>
      </c>
      <c r="AM12" s="30">
        <f>AM6*0.2</f>
        <v>808.94520000000011</v>
      </c>
      <c r="AN12" s="30">
        <f>AN6*0.18</f>
        <v>946.46588400000007</v>
      </c>
      <c r="AO12" s="30">
        <f>AO6*0.15</f>
        <v>985.90196250000008</v>
      </c>
      <c r="AP12" s="30">
        <f>AP6*0.1</f>
        <v>788.72157000000016</v>
      </c>
      <c r="AQ12" s="30">
        <f>AQ6*0.05</f>
        <v>453.51490274999998</v>
      </c>
      <c r="AR12" s="30">
        <f t="shared" ref="AR12:AS12" si="18">AR6*0.05</f>
        <v>498.86639302499998</v>
      </c>
      <c r="AS12" s="30">
        <f t="shared" si="18"/>
        <v>523.80971267625</v>
      </c>
    </row>
    <row r="13" spans="2:45" s="30" customFormat="1" x14ac:dyDescent="0.2">
      <c r="B13" s="30" t="s">
        <v>93</v>
      </c>
      <c r="R13" s="30">
        <f t="shared" si="14"/>
        <v>92.346999999999994</v>
      </c>
      <c r="S13" s="30">
        <v>25.925000000000001</v>
      </c>
      <c r="T13" s="30">
        <v>28.803000000000001</v>
      </c>
      <c r="U13" s="30">
        <v>32.581000000000003</v>
      </c>
      <c r="V13" s="30">
        <f t="shared" si="17"/>
        <v>35.635000000000005</v>
      </c>
      <c r="W13" s="30">
        <v>36.531999999999996</v>
      </c>
      <c r="X13" s="30">
        <v>40.591000000000001</v>
      </c>
      <c r="Y13" s="30">
        <v>39.081000000000003</v>
      </c>
      <c r="Z13" s="101">
        <v>44.293999999999997</v>
      </c>
      <c r="AA13" s="115"/>
      <c r="AB13" s="36"/>
      <c r="AC13" s="36"/>
      <c r="AD13" s="36"/>
      <c r="AE13" s="36"/>
      <c r="AF13" s="36"/>
      <c r="AH13" s="30">
        <v>92.346999999999994</v>
      </c>
      <c r="AI13" s="30">
        <v>122.944</v>
      </c>
      <c r="AJ13" s="99">
        <f>SUM(W13:Z13)</f>
        <v>160.49799999999999</v>
      </c>
      <c r="AK13" s="54">
        <f>AK6*0.1</f>
        <v>192.60599999999999</v>
      </c>
      <c r="AL13" s="30">
        <f t="shared" ref="AL13:AS13" si="19">AL6*0.1</f>
        <v>288.90900000000005</v>
      </c>
      <c r="AM13" s="30">
        <f t="shared" si="19"/>
        <v>404.47260000000006</v>
      </c>
      <c r="AN13" s="30">
        <f t="shared" si="19"/>
        <v>525.81438000000014</v>
      </c>
      <c r="AO13" s="30">
        <f t="shared" si="19"/>
        <v>657.26797500000021</v>
      </c>
      <c r="AP13" s="30">
        <f t="shared" si="19"/>
        <v>788.72157000000016</v>
      </c>
      <c r="AQ13" s="30">
        <f t="shared" si="19"/>
        <v>907.02980549999995</v>
      </c>
      <c r="AR13" s="30">
        <f t="shared" si="19"/>
        <v>997.73278604999996</v>
      </c>
      <c r="AS13" s="30">
        <f t="shared" si="19"/>
        <v>1047.6194253525</v>
      </c>
    </row>
    <row r="14" spans="2:45" s="30" customFormat="1" x14ac:dyDescent="0.2">
      <c r="B14" s="30" t="s">
        <v>94</v>
      </c>
      <c r="R14" s="30">
        <f t="shared" ref="R14" si="20">R11+R12+R13</f>
        <v>622.60799999999995</v>
      </c>
      <c r="S14" s="30">
        <f>S11+S12+S13</f>
        <v>188.56600000000003</v>
      </c>
      <c r="T14" s="30">
        <f t="shared" ref="T14:U14" si="21">T11+T12+T13</f>
        <v>210.57599999999999</v>
      </c>
      <c r="U14" s="30">
        <f t="shared" si="21"/>
        <v>235.197</v>
      </c>
      <c r="V14" s="30">
        <f t="shared" ref="V14" si="22">V11+V12+V13</f>
        <v>269.315</v>
      </c>
      <c r="W14" s="30">
        <f>W11+W12+W13</f>
        <v>283.17199999999997</v>
      </c>
      <c r="X14" s="30">
        <f>X11+X12+X13</f>
        <v>330.226</v>
      </c>
      <c r="Y14" s="30">
        <f t="shared" ref="Y14" si="23">Y11+Y12+Y13</f>
        <v>322.89200000000005</v>
      </c>
      <c r="Z14" s="101">
        <f>Z11+Z12+Z13</f>
        <v>345.101</v>
      </c>
      <c r="AA14" s="115"/>
      <c r="AH14" s="30">
        <f t="shared" ref="AH14" si="24">AH11+AH12+AH13</f>
        <v>622.60799999999995</v>
      </c>
      <c r="AI14" s="30">
        <f t="shared" ref="AI14:AS14" si="25">AI11+AI12+AI13</f>
        <v>903.654</v>
      </c>
      <c r="AJ14" s="99">
        <f t="shared" si="25"/>
        <v>1281.3910000000001</v>
      </c>
      <c r="AK14" s="54">
        <f t="shared" si="25"/>
        <v>1694.9328</v>
      </c>
      <c r="AL14" s="30">
        <f t="shared" si="25"/>
        <v>2340.1629000000003</v>
      </c>
      <c r="AM14" s="30">
        <f t="shared" si="25"/>
        <v>3033.5445</v>
      </c>
      <c r="AN14" s="30">
        <f t="shared" si="25"/>
        <v>3838.4449740000009</v>
      </c>
      <c r="AO14" s="30">
        <f t="shared" si="25"/>
        <v>3943.6078500000003</v>
      </c>
      <c r="AP14" s="30">
        <f t="shared" si="25"/>
        <v>4337.9686350000002</v>
      </c>
      <c r="AQ14" s="30">
        <f t="shared" si="25"/>
        <v>4535.1490274999996</v>
      </c>
      <c r="AR14" s="30">
        <f t="shared" si="25"/>
        <v>4988.6639302499998</v>
      </c>
      <c r="AS14" s="30">
        <f t="shared" si="25"/>
        <v>5238.0971267625</v>
      </c>
    </row>
    <row r="15" spans="2:45" s="31" customFormat="1" x14ac:dyDescent="0.2">
      <c r="B15" s="31" t="s">
        <v>95</v>
      </c>
      <c r="R15" s="31">
        <f t="shared" ref="R15" si="26">R10-R14</f>
        <v>-209.30399999999997</v>
      </c>
      <c r="S15" s="31">
        <f>S10-S14</f>
        <v>-61.446000000000026</v>
      </c>
      <c r="T15" s="31">
        <f t="shared" ref="T15:U15" si="27">T10-T14</f>
        <v>-72.530999999999977</v>
      </c>
      <c r="U15" s="31">
        <f t="shared" si="27"/>
        <v>-76.768000000000001</v>
      </c>
      <c r="V15" s="31">
        <f t="shared" ref="V15" si="28">V10-V14</f>
        <v>-78.618999999999971</v>
      </c>
      <c r="W15" s="31">
        <f>W10-W14</f>
        <v>-75.939999999999969</v>
      </c>
      <c r="X15" s="31">
        <f>X10-X14</f>
        <v>-114.84299999999996</v>
      </c>
      <c r="Y15" s="31">
        <f t="shared" ref="Y15" si="29">Y10-Y14</f>
        <v>-82.923000000000059</v>
      </c>
      <c r="Z15" s="100">
        <f>Z10-Z14</f>
        <v>-72.948999999999955</v>
      </c>
      <c r="AA15" s="114"/>
      <c r="AH15" s="31">
        <f t="shared" ref="AH15" si="30">AH10-AH14</f>
        <v>-209.30399999999997</v>
      </c>
      <c r="AI15" s="31">
        <f t="shared" ref="AI15:AS15" si="31">AI10-AI14</f>
        <v>-289.36400000000003</v>
      </c>
      <c r="AJ15" s="110">
        <f t="shared" si="31"/>
        <v>-346.65500000000009</v>
      </c>
      <c r="AK15" s="52">
        <f t="shared" si="31"/>
        <v>-308.16960000000017</v>
      </c>
      <c r="AL15" s="31">
        <f t="shared" si="31"/>
        <v>-260.01810000000023</v>
      </c>
      <c r="AM15" s="31">
        <f t="shared" si="31"/>
        <v>-121.34177999999974</v>
      </c>
      <c r="AN15" s="31">
        <f t="shared" si="31"/>
        <v>-52.581438000000617</v>
      </c>
      <c r="AO15" s="31">
        <f t="shared" si="31"/>
        <v>788.72157000000061</v>
      </c>
      <c r="AP15" s="31">
        <f t="shared" si="31"/>
        <v>1340.826669</v>
      </c>
      <c r="AQ15" s="31">
        <f t="shared" si="31"/>
        <v>1995.4655720999999</v>
      </c>
      <c r="AR15" s="31">
        <f t="shared" si="31"/>
        <v>2195.0121293099992</v>
      </c>
      <c r="AS15" s="31">
        <f t="shared" si="31"/>
        <v>2304.7627357755</v>
      </c>
    </row>
    <row r="16" spans="2:45" s="30" customFormat="1" x14ac:dyDescent="0.2">
      <c r="B16" s="30" t="s">
        <v>96</v>
      </c>
      <c r="R16" s="30">
        <f t="shared" ref="R16:R18" si="32">AH16-SUM(O16:Q16)</f>
        <v>4.569</v>
      </c>
      <c r="S16" s="30">
        <v>0.17299999999999999</v>
      </c>
      <c r="T16" s="30">
        <v>0.157</v>
      </c>
      <c r="U16" s="30">
        <v>0.20399999999999999</v>
      </c>
      <c r="V16" s="30">
        <f t="shared" ref="V16:V20" si="33">AI16-SUM(S16:U16)</f>
        <v>0.39200000000000013</v>
      </c>
      <c r="W16" s="30">
        <v>0.624</v>
      </c>
      <c r="X16" s="30">
        <v>1.68</v>
      </c>
      <c r="Y16" s="30">
        <v>6.9320000000000004</v>
      </c>
      <c r="Z16" s="101">
        <v>0</v>
      </c>
      <c r="AA16" s="115"/>
      <c r="AB16" s="36"/>
      <c r="AC16" s="36"/>
      <c r="AH16" s="30">
        <v>4.569</v>
      </c>
      <c r="AI16" s="30">
        <v>0.92600000000000005</v>
      </c>
      <c r="AJ16" s="99">
        <f>SUM(W16:Z16)</f>
        <v>9.2360000000000007</v>
      </c>
      <c r="AK16" s="54">
        <f>AVERAGE(AH16:AJ16)</f>
        <v>4.9103333333333339</v>
      </c>
      <c r="AL16" s="30">
        <f t="shared" ref="AL16:AS16" si="34">AVERAGE(AI16:AK16)</f>
        <v>5.0241111111111119</v>
      </c>
      <c r="AM16" s="30">
        <f t="shared" si="34"/>
        <v>6.3901481481481488</v>
      </c>
      <c r="AN16" s="30">
        <f t="shared" si="34"/>
        <v>5.4415308641975315</v>
      </c>
      <c r="AO16" s="30">
        <f t="shared" si="34"/>
        <v>5.6185967078189307</v>
      </c>
      <c r="AP16" s="30">
        <f t="shared" si="34"/>
        <v>5.8167585733882037</v>
      </c>
      <c r="AQ16" s="30">
        <f t="shared" si="34"/>
        <v>5.625628715134888</v>
      </c>
      <c r="AR16" s="30">
        <f t="shared" si="34"/>
        <v>5.6869946654473402</v>
      </c>
      <c r="AS16" s="30">
        <f t="shared" si="34"/>
        <v>5.7097939846568098</v>
      </c>
    </row>
    <row r="17" spans="2:101" s="30" customFormat="1" x14ac:dyDescent="0.2">
      <c r="B17" s="30" t="s">
        <v>97</v>
      </c>
      <c r="R17" s="30">
        <f t="shared" si="32"/>
        <v>56.106999999999999</v>
      </c>
      <c r="S17" s="30">
        <v>3.6579999999999999</v>
      </c>
      <c r="T17" s="30">
        <v>2.556</v>
      </c>
      <c r="U17" s="30">
        <v>-2.597</v>
      </c>
      <c r="V17" s="30">
        <f t="shared" si="33"/>
        <v>7.6989999999999998</v>
      </c>
      <c r="W17" s="30">
        <v>2.4529999999999998</v>
      </c>
      <c r="X17" s="30">
        <v>2.4289999999999998</v>
      </c>
      <c r="Y17" s="30">
        <v>2.4969999999999999</v>
      </c>
      <c r="Z17" s="101">
        <v>0</v>
      </c>
      <c r="AA17" s="115"/>
      <c r="AH17" s="30">
        <v>56.106999999999999</v>
      </c>
      <c r="AI17" s="30">
        <v>11.316000000000001</v>
      </c>
      <c r="AJ17" s="99">
        <f>SUM(W17:Z17)</f>
        <v>7.3789999999999996</v>
      </c>
      <c r="AK17" s="54">
        <f t="shared" ref="AK17:AS17" si="35">AVERAGE(AH17:AJ17)</f>
        <v>24.934000000000001</v>
      </c>
      <c r="AL17" s="30">
        <f t="shared" si="35"/>
        <v>14.543000000000001</v>
      </c>
      <c r="AM17" s="30">
        <f t="shared" si="35"/>
        <v>15.618666666666668</v>
      </c>
      <c r="AN17" s="30">
        <f t="shared" si="35"/>
        <v>18.365222222222226</v>
      </c>
      <c r="AO17" s="30">
        <f t="shared" si="35"/>
        <v>16.175629629629629</v>
      </c>
      <c r="AP17" s="30">
        <f t="shared" si="35"/>
        <v>16.719839506172843</v>
      </c>
      <c r="AQ17" s="30">
        <f t="shared" si="35"/>
        <v>17.086897119341568</v>
      </c>
      <c r="AR17" s="30">
        <f t="shared" si="35"/>
        <v>16.66078875171468</v>
      </c>
      <c r="AS17" s="30">
        <f t="shared" si="35"/>
        <v>16.822508459076364</v>
      </c>
    </row>
    <row r="18" spans="2:101" s="30" customFormat="1" x14ac:dyDescent="0.2">
      <c r="B18" s="30" t="s">
        <v>98</v>
      </c>
      <c r="R18" s="30">
        <f t="shared" si="32"/>
        <v>-1.851</v>
      </c>
      <c r="S18" s="30">
        <v>-0.437</v>
      </c>
      <c r="T18" s="30">
        <v>-0.66500000000000004</v>
      </c>
      <c r="U18" s="30">
        <v>0.11700000000000001</v>
      </c>
      <c r="V18" s="30">
        <f t="shared" si="33"/>
        <v>-2.1499999999999995</v>
      </c>
      <c r="W18" s="30">
        <v>1.621</v>
      </c>
      <c r="X18" s="30">
        <v>-0.224</v>
      </c>
      <c r="Y18" s="30">
        <v>-1.3180000000000001</v>
      </c>
      <c r="Z18" s="101">
        <v>11.465</v>
      </c>
      <c r="AA18" s="115"/>
      <c r="AH18" s="30">
        <v>-1.851</v>
      </c>
      <c r="AI18" s="30">
        <v>-3.1349999999999998</v>
      </c>
      <c r="AJ18" s="99">
        <f>SUM(W18:Z18)</f>
        <v>11.544</v>
      </c>
      <c r="AK18" s="54">
        <f t="shared" ref="AK18" si="36">AVERAGE(AH18:AJ18)</f>
        <v>2.1860000000000004</v>
      </c>
      <c r="AL18" s="30">
        <f t="shared" ref="AL18" si="37">AVERAGE(AI18:AK18)</f>
        <v>3.5316666666666667</v>
      </c>
      <c r="AM18" s="30">
        <f t="shared" ref="AM18" si="38">AVERAGE(AJ18:AL18)</f>
        <v>5.7538888888888886</v>
      </c>
      <c r="AN18" s="30">
        <f t="shared" ref="AN18" si="39">AVERAGE(AK18:AM18)</f>
        <v>3.8238518518518521</v>
      </c>
      <c r="AO18" s="30">
        <f t="shared" ref="AO18" si="40">AVERAGE(AL18:AN18)</f>
        <v>4.3698024691358031</v>
      </c>
      <c r="AP18" s="30">
        <f t="shared" ref="AP18" si="41">AVERAGE(AM18:AO18)</f>
        <v>4.6491810699588472</v>
      </c>
      <c r="AQ18" s="30">
        <f t="shared" ref="AQ18" si="42">AVERAGE(AN18:AP18)</f>
        <v>4.2809451303155006</v>
      </c>
      <c r="AR18" s="30">
        <f t="shared" ref="AR18" si="43">AVERAGE(AO18:AQ18)</f>
        <v>4.43330955647005</v>
      </c>
      <c r="AS18" s="30">
        <f t="shared" ref="AS18" si="44">AVERAGE(AP18:AR18)</f>
        <v>4.4544785855814659</v>
      </c>
    </row>
    <row r="19" spans="2:101" s="30" customFormat="1" x14ac:dyDescent="0.2">
      <c r="B19" s="30" t="s">
        <v>99</v>
      </c>
      <c r="R19" s="30">
        <f t="shared" ref="R19:Y19" si="45">R15+R16-R17+R18</f>
        <v>-262.69299999999998</v>
      </c>
      <c r="S19" s="30">
        <f t="shared" si="45"/>
        <v>-65.368000000000023</v>
      </c>
      <c r="T19" s="30">
        <f t="shared" si="45"/>
        <v>-75.594999999999985</v>
      </c>
      <c r="U19" s="30">
        <f t="shared" si="45"/>
        <v>-73.850000000000009</v>
      </c>
      <c r="V19" s="30">
        <f t="shared" si="45"/>
        <v>-88.075999999999979</v>
      </c>
      <c r="W19" s="30">
        <f t="shared" si="45"/>
        <v>-76.147999999999982</v>
      </c>
      <c r="X19" s="30">
        <f t="shared" si="45"/>
        <v>-115.81599999999996</v>
      </c>
      <c r="Y19" s="30">
        <f t="shared" si="45"/>
        <v>-79.806000000000054</v>
      </c>
      <c r="Z19" s="101">
        <f>Z15+Z16-Z17+Z18</f>
        <v>-61.483999999999952</v>
      </c>
      <c r="AA19" s="115"/>
      <c r="AH19" s="30">
        <f>AH15+AH16-AH17+AH18</f>
        <v>-262.69299999999998</v>
      </c>
      <c r="AI19" s="30">
        <f>AI15+AI16-AI17+AI18</f>
        <v>-302.88900000000001</v>
      </c>
      <c r="AJ19" s="99">
        <f>AJ15+AJ16-AJ17+AJ18</f>
        <v>-333.25400000000013</v>
      </c>
      <c r="AK19" s="54">
        <f t="shared" ref="AK19:AS19" si="46">AK15+AK16-AK17+AK18</f>
        <v>-326.00726666666691</v>
      </c>
      <c r="AL19" s="30">
        <f t="shared" si="46"/>
        <v>-266.00532222222239</v>
      </c>
      <c r="AM19" s="30">
        <f t="shared" si="46"/>
        <v>-124.81640962962936</v>
      </c>
      <c r="AN19" s="30">
        <f t="shared" si="46"/>
        <v>-61.681277506173465</v>
      </c>
      <c r="AO19" s="30">
        <f t="shared" si="46"/>
        <v>782.53433954732577</v>
      </c>
      <c r="AP19" s="30">
        <f t="shared" si="46"/>
        <v>1334.5727691371742</v>
      </c>
      <c r="AQ19" s="30">
        <f t="shared" si="46"/>
        <v>1988.2852488261087</v>
      </c>
      <c r="AR19" s="30">
        <f t="shared" si="46"/>
        <v>2188.471644780202</v>
      </c>
      <c r="AS19" s="30">
        <f t="shared" si="46"/>
        <v>2298.1044998866619</v>
      </c>
    </row>
    <row r="20" spans="2:101" s="30" customFormat="1" x14ac:dyDescent="0.2">
      <c r="B20" s="30" t="s">
        <v>100</v>
      </c>
      <c r="R20" s="30">
        <f>AH20-SUM(O20:Q20)</f>
        <v>4.2510000000000003</v>
      </c>
      <c r="S20" s="30">
        <v>-1.3759999999999999</v>
      </c>
      <c r="T20" s="30">
        <v>1.538</v>
      </c>
      <c r="U20" s="30">
        <v>2.2490000000000001</v>
      </c>
      <c r="V20" s="30">
        <f t="shared" si="33"/>
        <v>1.5659999999999994</v>
      </c>
      <c r="W20" s="30">
        <v>1.1459999999999999</v>
      </c>
      <c r="X20" s="30">
        <v>3.0489999999999999</v>
      </c>
      <c r="Y20" s="30">
        <v>5.0350000000000001</v>
      </c>
      <c r="Z20" s="101">
        <v>2.9140000000000001</v>
      </c>
      <c r="AA20" s="115"/>
      <c r="AH20" s="30">
        <v>4.2510000000000003</v>
      </c>
      <c r="AI20" s="30">
        <v>3.9769999999999999</v>
      </c>
      <c r="AJ20" s="99">
        <f>SUM(W20:Z20)</f>
        <v>12.144</v>
      </c>
      <c r="AK20" s="54">
        <f>AK19*AK32</f>
        <v>16.300363333333348</v>
      </c>
      <c r="AL20" s="30">
        <f t="shared" ref="AL20:AS20" si="47">AL19*AL32</f>
        <v>7.9801596666666716</v>
      </c>
      <c r="AM20" s="30">
        <f t="shared" si="47"/>
        <v>2.4963281925925873</v>
      </c>
      <c r="AN20" s="30">
        <f t="shared" si="47"/>
        <v>-3.0840638753086735</v>
      </c>
      <c r="AO20" s="30">
        <f t="shared" si="47"/>
        <v>39.126716977366293</v>
      </c>
      <c r="AP20" s="30">
        <f t="shared" si="47"/>
        <v>133.45727691371744</v>
      </c>
      <c r="AQ20" s="30">
        <f t="shared" si="47"/>
        <v>198.82852488261088</v>
      </c>
      <c r="AR20" s="30">
        <f t="shared" si="47"/>
        <v>328.27074671703031</v>
      </c>
      <c r="AS20" s="30">
        <f t="shared" si="47"/>
        <v>344.71567498299925</v>
      </c>
    </row>
    <row r="21" spans="2:101" s="31" customFormat="1" x14ac:dyDescent="0.2">
      <c r="B21" s="31" t="s">
        <v>101</v>
      </c>
      <c r="R21" s="31">
        <f t="shared" ref="R21:Y21" si="48">R19-R20</f>
        <v>-266.94399999999996</v>
      </c>
      <c r="S21" s="31">
        <f t="shared" si="48"/>
        <v>-63.992000000000026</v>
      </c>
      <c r="T21" s="31">
        <f t="shared" si="48"/>
        <v>-77.132999999999981</v>
      </c>
      <c r="U21" s="31">
        <f t="shared" si="48"/>
        <v>-76.099000000000004</v>
      </c>
      <c r="V21" s="31">
        <f t="shared" si="48"/>
        <v>-89.641999999999982</v>
      </c>
      <c r="W21" s="31">
        <f t="shared" si="48"/>
        <v>-77.293999999999983</v>
      </c>
      <c r="X21" s="31">
        <f t="shared" si="48"/>
        <v>-118.86499999999997</v>
      </c>
      <c r="Y21" s="31">
        <f t="shared" si="48"/>
        <v>-84.841000000000051</v>
      </c>
      <c r="Z21" s="100">
        <f>Z19-Z20</f>
        <v>-64.397999999999954</v>
      </c>
      <c r="AA21" s="114"/>
      <c r="AH21" s="31">
        <f>AH19-AH20</f>
        <v>-266.94399999999996</v>
      </c>
      <c r="AI21" s="31">
        <f>AI19-AI20</f>
        <v>-306.86599999999999</v>
      </c>
      <c r="AJ21" s="110">
        <f>AJ19-AJ20</f>
        <v>-345.39800000000014</v>
      </c>
      <c r="AK21" s="52">
        <f t="shared" ref="AK21:AS21" si="49">AK19-AK20</f>
        <v>-342.30763000000024</v>
      </c>
      <c r="AL21" s="31">
        <f t="shared" si="49"/>
        <v>-273.98548188888907</v>
      </c>
      <c r="AM21" s="31">
        <f t="shared" si="49"/>
        <v>-127.31273782222195</v>
      </c>
      <c r="AN21" s="31">
        <f t="shared" si="49"/>
        <v>-58.597213630864793</v>
      </c>
      <c r="AO21" s="31">
        <f t="shared" si="49"/>
        <v>743.40762256995947</v>
      </c>
      <c r="AP21" s="31">
        <f t="shared" si="49"/>
        <v>1201.1154922234568</v>
      </c>
      <c r="AQ21" s="31">
        <f t="shared" si="49"/>
        <v>1789.4567239434978</v>
      </c>
      <c r="AR21" s="31">
        <f t="shared" si="49"/>
        <v>1860.2008980631717</v>
      </c>
      <c r="AS21" s="31">
        <f t="shared" si="49"/>
        <v>1953.3888249036627</v>
      </c>
      <c r="AT21" s="31">
        <f>AS21*(1+$AV$22)</f>
        <v>1933.854936654626</v>
      </c>
      <c r="AU21" s="31">
        <f t="shared" ref="AU21:CW21" si="50">AT21*(1+$AV$22)</f>
        <v>1914.5163872880798</v>
      </c>
      <c r="AV21" s="31">
        <f t="shared" si="50"/>
        <v>1895.371223415199</v>
      </c>
      <c r="AW21" s="31">
        <f t="shared" si="50"/>
        <v>1876.4175111810471</v>
      </c>
      <c r="AX21" s="31">
        <f t="shared" si="50"/>
        <v>1857.6533360692365</v>
      </c>
      <c r="AY21" s="31">
        <f t="shared" si="50"/>
        <v>1839.0768027085442</v>
      </c>
      <c r="AZ21" s="31">
        <f t="shared" si="50"/>
        <v>1820.6860346814588</v>
      </c>
      <c r="BA21" s="31">
        <f t="shared" si="50"/>
        <v>1802.4791743346441</v>
      </c>
      <c r="BB21" s="31">
        <f t="shared" si="50"/>
        <v>1784.4543825912976</v>
      </c>
      <c r="BC21" s="31">
        <f t="shared" si="50"/>
        <v>1766.6098387653847</v>
      </c>
      <c r="BD21" s="31">
        <f t="shared" si="50"/>
        <v>1748.9437403777308</v>
      </c>
      <c r="BE21" s="31">
        <f t="shared" si="50"/>
        <v>1731.4543029739534</v>
      </c>
      <c r="BF21" s="31">
        <f t="shared" si="50"/>
        <v>1714.1397599442139</v>
      </c>
      <c r="BG21" s="31">
        <f t="shared" si="50"/>
        <v>1696.9983623447717</v>
      </c>
      <c r="BH21" s="31">
        <f t="shared" si="50"/>
        <v>1680.0283787213241</v>
      </c>
      <c r="BI21" s="31">
        <f t="shared" si="50"/>
        <v>1663.2280949341109</v>
      </c>
      <c r="BJ21" s="31">
        <f t="shared" si="50"/>
        <v>1646.5958139847698</v>
      </c>
      <c r="BK21" s="31">
        <f t="shared" si="50"/>
        <v>1630.1298558449221</v>
      </c>
      <c r="BL21" s="31">
        <f t="shared" si="50"/>
        <v>1613.8285572864729</v>
      </c>
      <c r="BM21" s="31">
        <f t="shared" si="50"/>
        <v>1597.6902717136081</v>
      </c>
      <c r="BN21" s="31">
        <f t="shared" si="50"/>
        <v>1581.7133689964721</v>
      </c>
      <c r="BO21" s="31">
        <f t="shared" si="50"/>
        <v>1565.8962353065074</v>
      </c>
      <c r="BP21" s="31">
        <f t="shared" si="50"/>
        <v>1550.2372729534422</v>
      </c>
      <c r="BQ21" s="31">
        <f t="shared" si="50"/>
        <v>1534.7349002239077</v>
      </c>
      <c r="BR21" s="31">
        <f t="shared" si="50"/>
        <v>1519.3875512216687</v>
      </c>
      <c r="BS21" s="31">
        <f t="shared" si="50"/>
        <v>1504.193675709452</v>
      </c>
      <c r="BT21" s="31">
        <f t="shared" si="50"/>
        <v>1489.1517389523574</v>
      </c>
      <c r="BU21" s="31">
        <f t="shared" si="50"/>
        <v>1474.2602215628337</v>
      </c>
      <c r="BV21" s="31">
        <f t="shared" si="50"/>
        <v>1459.5176193472055</v>
      </c>
      <c r="BW21" s="31">
        <f t="shared" si="50"/>
        <v>1444.9224431537334</v>
      </c>
      <c r="BX21" s="31">
        <f t="shared" si="50"/>
        <v>1430.473218722196</v>
      </c>
      <c r="BY21" s="31">
        <f t="shared" si="50"/>
        <v>1416.1684865349739</v>
      </c>
      <c r="BZ21" s="31">
        <f t="shared" si="50"/>
        <v>1402.0068016696241</v>
      </c>
      <c r="CA21" s="31">
        <f t="shared" si="50"/>
        <v>1387.9867336529278</v>
      </c>
      <c r="CB21" s="31">
        <f t="shared" si="50"/>
        <v>1374.1068663163985</v>
      </c>
      <c r="CC21" s="31">
        <f t="shared" si="50"/>
        <v>1360.3657976532345</v>
      </c>
      <c r="CD21" s="31">
        <f t="shared" si="50"/>
        <v>1346.7621396767022</v>
      </c>
      <c r="CE21" s="31">
        <f t="shared" si="50"/>
        <v>1333.2945182799351</v>
      </c>
      <c r="CF21" s="31">
        <f t="shared" si="50"/>
        <v>1319.9615730971357</v>
      </c>
      <c r="CG21" s="31">
        <f t="shared" si="50"/>
        <v>1306.7619573661643</v>
      </c>
      <c r="CH21" s="31">
        <f t="shared" si="50"/>
        <v>1293.6943377925027</v>
      </c>
      <c r="CI21" s="31">
        <f t="shared" si="50"/>
        <v>1280.7573944145777</v>
      </c>
      <c r="CJ21" s="31">
        <f t="shared" si="50"/>
        <v>1267.9498204704319</v>
      </c>
      <c r="CK21" s="31">
        <f t="shared" si="50"/>
        <v>1255.2703222657276</v>
      </c>
      <c r="CL21" s="31">
        <f t="shared" si="50"/>
        <v>1242.7176190430703</v>
      </c>
      <c r="CM21" s="31">
        <f t="shared" si="50"/>
        <v>1230.2904428526397</v>
      </c>
      <c r="CN21" s="31">
        <f t="shared" si="50"/>
        <v>1217.9875384241132</v>
      </c>
      <c r="CO21" s="31">
        <f t="shared" si="50"/>
        <v>1205.8076630398721</v>
      </c>
      <c r="CP21" s="31">
        <f t="shared" si="50"/>
        <v>1193.7495864094733</v>
      </c>
      <c r="CQ21" s="31">
        <f t="shared" si="50"/>
        <v>1181.8120905453786</v>
      </c>
      <c r="CR21" s="31">
        <f t="shared" si="50"/>
        <v>1169.9939696399249</v>
      </c>
      <c r="CS21" s="31">
        <f t="shared" si="50"/>
        <v>1158.2940299435256</v>
      </c>
      <c r="CT21" s="31">
        <f t="shared" si="50"/>
        <v>1146.7110896440904</v>
      </c>
      <c r="CU21" s="31">
        <f t="shared" si="50"/>
        <v>1135.2439787476494</v>
      </c>
      <c r="CV21" s="31">
        <f t="shared" si="50"/>
        <v>1123.891538960173</v>
      </c>
      <c r="CW21" s="31">
        <f t="shared" si="50"/>
        <v>1112.6526235705712</v>
      </c>
    </row>
    <row r="22" spans="2:101" s="36" customFormat="1" x14ac:dyDescent="0.2">
      <c r="B22" s="36" t="s">
        <v>102</v>
      </c>
      <c r="R22" s="36">
        <f t="shared" ref="R22:Z22" si="51">R21/R23</f>
        <v>-4.525655542249635</v>
      </c>
      <c r="S22" s="36">
        <f t="shared" si="51"/>
        <v>-1.0428660106545344</v>
      </c>
      <c r="T22" s="36">
        <f t="shared" si="51"/>
        <v>-1.2160968061806907</v>
      </c>
      <c r="U22" s="36">
        <f t="shared" si="51"/>
        <v>-1.1463044248881236</v>
      </c>
      <c r="V22" s="36">
        <f t="shared" si="51"/>
        <v>-1.3884416085043834</v>
      </c>
      <c r="W22" s="36">
        <f t="shared" si="51"/>
        <v>-1.1416038004739926</v>
      </c>
      <c r="X22" s="36">
        <f t="shared" si="51"/>
        <v>-1.739459023195089</v>
      </c>
      <c r="Y22" s="36">
        <f t="shared" si="51"/>
        <v>-1.2310638914773968</v>
      </c>
      <c r="Z22" s="36">
        <f t="shared" si="51"/>
        <v>-0.92625357140093434</v>
      </c>
      <c r="AA22" s="116"/>
      <c r="AH22" s="36">
        <f>AH21/AH23</f>
        <v>-4.525655542249635</v>
      </c>
      <c r="AI22" s="36">
        <f>AI21/AI23</f>
        <v>-4.7529676115582671</v>
      </c>
      <c r="AJ22" s="36">
        <f t="shared" ref="AJ22" si="52">AJ21/AJ23</f>
        <v>-5.3497797315342952</v>
      </c>
      <c r="AK22" s="55">
        <f t="shared" ref="AK22:AS22" si="53">AK21/AK23</f>
        <v>-5.3019137948787813</v>
      </c>
      <c r="AL22" s="36">
        <f t="shared" si="53"/>
        <v>-4.2436898237506728</v>
      </c>
      <c r="AM22" s="36">
        <f t="shared" si="53"/>
        <v>-1.9719138627538733</v>
      </c>
      <c r="AN22" s="36">
        <f t="shared" si="53"/>
        <v>-0.90759699189568399</v>
      </c>
      <c r="AO22" s="36">
        <f t="shared" si="53"/>
        <v>11.514447192783006</v>
      </c>
      <c r="AP22" s="36">
        <f t="shared" si="53"/>
        <v>18.603765266529873</v>
      </c>
      <c r="AQ22" s="36">
        <f t="shared" si="53"/>
        <v>27.716429487752336</v>
      </c>
      <c r="AR22" s="36">
        <f t="shared" si="53"/>
        <v>28.812167589390342</v>
      </c>
      <c r="AS22" s="36">
        <f t="shared" si="53"/>
        <v>30.255531135893097</v>
      </c>
      <c r="AU22" s="61" t="s">
        <v>145</v>
      </c>
      <c r="AV22" s="68">
        <v>-0.01</v>
      </c>
    </row>
    <row r="23" spans="2:101" s="30" customFormat="1" x14ac:dyDescent="0.2">
      <c r="B23" s="30" t="s">
        <v>3</v>
      </c>
      <c r="R23" s="30">
        <f>AH23</f>
        <v>58.984603999999997</v>
      </c>
      <c r="S23" s="30">
        <v>61.361669999999997</v>
      </c>
      <c r="T23" s="30">
        <v>63.426693999999998</v>
      </c>
      <c r="U23" s="30">
        <v>66.386379000000005</v>
      </c>
      <c r="V23" s="30">
        <f>AI23</f>
        <v>64.563032000000007</v>
      </c>
      <c r="W23" s="30">
        <v>67.706502</v>
      </c>
      <c r="X23" s="30">
        <v>68.334463999999997</v>
      </c>
      <c r="Y23" s="30">
        <v>68.916813000000005</v>
      </c>
      <c r="Z23" s="101">
        <v>69.525238000000002</v>
      </c>
      <c r="AA23" s="115"/>
      <c r="AH23" s="30">
        <v>58.984603999999997</v>
      </c>
      <c r="AI23" s="30">
        <v>64.563032000000007</v>
      </c>
      <c r="AJ23" s="30">
        <v>64.563032000000007</v>
      </c>
      <c r="AK23" s="54">
        <f>AJ23</f>
        <v>64.563032000000007</v>
      </c>
      <c r="AL23" s="30">
        <f t="shared" ref="AL23:AS23" si="54">AK23</f>
        <v>64.563032000000007</v>
      </c>
      <c r="AM23" s="30">
        <f t="shared" si="54"/>
        <v>64.563032000000007</v>
      </c>
      <c r="AN23" s="30">
        <f t="shared" si="54"/>
        <v>64.563032000000007</v>
      </c>
      <c r="AO23" s="30">
        <f t="shared" si="54"/>
        <v>64.563032000000007</v>
      </c>
      <c r="AP23" s="30">
        <f t="shared" si="54"/>
        <v>64.563032000000007</v>
      </c>
      <c r="AQ23" s="30">
        <f t="shared" si="54"/>
        <v>64.563032000000007</v>
      </c>
      <c r="AR23" s="30">
        <f t="shared" si="54"/>
        <v>64.563032000000007</v>
      </c>
      <c r="AS23" s="30">
        <f t="shared" si="54"/>
        <v>64.563032000000007</v>
      </c>
      <c r="AU23" s="62" t="s">
        <v>146</v>
      </c>
      <c r="AV23" s="69">
        <v>0.08</v>
      </c>
    </row>
    <row r="24" spans="2:101" s="30" customFormat="1" x14ac:dyDescent="0.2">
      <c r="Z24" s="101"/>
      <c r="AA24" s="115"/>
      <c r="AJ24" s="99"/>
      <c r="AK24" s="54"/>
      <c r="AU24" s="62" t="s">
        <v>147</v>
      </c>
      <c r="AV24" s="63">
        <f>NPV(AV23,AJ21:CW21)</f>
        <v>12883.813309179382</v>
      </c>
    </row>
    <row r="25" spans="2:101" x14ac:dyDescent="0.2">
      <c r="Z25" s="102"/>
      <c r="AU25" s="64" t="s">
        <v>7</v>
      </c>
      <c r="AV25" s="65">
        <f>Main!C11</f>
        <v>696.75</v>
      </c>
    </row>
    <row r="26" spans="2:101" s="2" customFormat="1" x14ac:dyDescent="0.2">
      <c r="B26" s="2" t="s">
        <v>83</v>
      </c>
      <c r="W26" s="32">
        <f>W6/S6-1</f>
        <v>0.57142935787897486</v>
      </c>
      <c r="X26" s="32">
        <f>X6/T6-1</f>
        <v>0.52787211882443508</v>
      </c>
      <c r="Y26" s="32">
        <f t="shared" ref="Y26" si="55">Y6/U6-1</f>
        <v>0.47038912615197459</v>
      </c>
      <c r="Z26" s="32">
        <f t="shared" ref="Z26" si="56">Z6/V6-1</f>
        <v>0.35579787912673444</v>
      </c>
      <c r="AA26" s="120"/>
      <c r="AI26" s="32">
        <f>AI6/AH6-1</f>
        <v>0.48003319895660423</v>
      </c>
      <c r="AJ26" s="111">
        <f>AJ6/AI6-1</f>
        <v>0.46951985735572488</v>
      </c>
      <c r="AK26" s="60">
        <v>0.5</v>
      </c>
      <c r="AL26" s="32">
        <v>0.5</v>
      </c>
      <c r="AM26" s="32">
        <v>0.4</v>
      </c>
      <c r="AN26" s="32">
        <v>0.3</v>
      </c>
      <c r="AO26" s="32">
        <v>0.25</v>
      </c>
      <c r="AP26" s="32">
        <v>0.2</v>
      </c>
      <c r="AQ26" s="32">
        <v>0.15</v>
      </c>
      <c r="AR26" s="32">
        <v>0.1</v>
      </c>
      <c r="AS26" s="32">
        <v>0.05</v>
      </c>
      <c r="AU26" s="64" t="s">
        <v>148</v>
      </c>
      <c r="AV26" s="63">
        <f>AV24-AV25</f>
        <v>12187.063309179382</v>
      </c>
    </row>
    <row r="27" spans="2:101" x14ac:dyDescent="0.2">
      <c r="B27" s="1" t="s">
        <v>84</v>
      </c>
      <c r="T27" s="33">
        <f>T6/S6-1</f>
        <v>9.41326081212015E-2</v>
      </c>
      <c r="U27" s="33">
        <f>U6/T6-1</f>
        <v>0.14161723195821807</v>
      </c>
      <c r="V27" s="33">
        <f t="shared" ref="V27:W27" si="57">V6/U6-1</f>
        <v>0.17453601477348357</v>
      </c>
      <c r="W27" s="33">
        <f t="shared" si="57"/>
        <v>7.1119800070545525E-2</v>
      </c>
      <c r="X27" s="33">
        <f>X6/W6-1</f>
        <v>6.3805189755015812E-2</v>
      </c>
      <c r="Y27" s="33">
        <f t="shared" ref="Y27" si="58">Y6/X6-1</f>
        <v>9.8666271487848123E-2</v>
      </c>
      <c r="Z27" s="33">
        <f t="shared" ref="Z27" si="59">Z6/Y6-1</f>
        <v>8.3001369817847337E-2</v>
      </c>
      <c r="AE27" s="21" t="s">
        <v>142</v>
      </c>
      <c r="AF27" s="21" t="s">
        <v>142</v>
      </c>
      <c r="AG27" s="21" t="s">
        <v>142</v>
      </c>
      <c r="AH27" s="21" t="s">
        <v>142</v>
      </c>
      <c r="AI27" s="21" t="s">
        <v>142</v>
      </c>
      <c r="AU27" s="3" t="s">
        <v>149</v>
      </c>
      <c r="AV27" s="70">
        <f>AV26/Main!C7</f>
        <v>175.28977476034504</v>
      </c>
    </row>
    <row r="28" spans="2:101" x14ac:dyDescent="0.2">
      <c r="Z28" s="102"/>
      <c r="AU28" s="64" t="s">
        <v>150</v>
      </c>
      <c r="AV28" s="65">
        <f>Main!C6</f>
        <v>207.67</v>
      </c>
    </row>
    <row r="29" spans="2:101" s="33" customFormat="1" x14ac:dyDescent="0.2">
      <c r="B29" s="33" t="s">
        <v>85</v>
      </c>
      <c r="S29" s="33">
        <f>S10/S6</f>
        <v>0.69981502686514585</v>
      </c>
      <c r="T29" s="33">
        <f t="shared" ref="T29" si="60">T10/T6</f>
        <v>0.69457652190976471</v>
      </c>
      <c r="U29" s="33">
        <f>U10/U6</f>
        <v>0.69825424318952101</v>
      </c>
      <c r="V29" s="33">
        <f t="shared" ref="V29" si="61">V10/V6</f>
        <v>0.71557333373359255</v>
      </c>
      <c r="W29" s="33">
        <f>W10/W6</f>
        <v>0.72599116473460923</v>
      </c>
      <c r="X29" s="33">
        <f t="shared" ref="X29:Y29" si="62">X10/X6</f>
        <v>0.70928999538958049</v>
      </c>
      <c r="Y29" s="33">
        <f t="shared" si="62"/>
        <v>0.71928625596110563</v>
      </c>
      <c r="Z29" s="103">
        <f>Z10/Z6</f>
        <v>0.75323266318306625</v>
      </c>
      <c r="AA29" s="118"/>
      <c r="AH29" s="33">
        <f t="shared" ref="AH29:AI29" si="63">AH10/AH6</f>
        <v>0.7000643653240286</v>
      </c>
      <c r="AI29" s="33">
        <f t="shared" si="63"/>
        <v>0.703024324144924</v>
      </c>
      <c r="AJ29" s="104">
        <f t="shared" ref="AJ29" si="64">AJ10/AJ6</f>
        <v>0.72796486090775991</v>
      </c>
      <c r="AK29" s="56">
        <v>0.72</v>
      </c>
      <c r="AL29" s="33">
        <v>0.72</v>
      </c>
      <c r="AM29" s="33">
        <v>0.72</v>
      </c>
      <c r="AN29" s="33">
        <v>0.72</v>
      </c>
      <c r="AO29" s="33">
        <v>0.72</v>
      </c>
      <c r="AP29" s="33">
        <v>0.72</v>
      </c>
      <c r="AQ29" s="33">
        <v>0.72</v>
      </c>
      <c r="AR29" s="33">
        <v>0.72</v>
      </c>
      <c r="AS29" s="33">
        <v>0.72</v>
      </c>
      <c r="AU29" s="66" t="s">
        <v>151</v>
      </c>
      <c r="AV29" s="67">
        <f>AV27/AV28-1</f>
        <v>-0.15592153531879882</v>
      </c>
    </row>
    <row r="30" spans="2:101" s="33" customFormat="1" x14ac:dyDescent="0.2">
      <c r="B30" s="33" t="s">
        <v>86</v>
      </c>
      <c r="S30" s="33">
        <f>S15/S6</f>
        <v>-0.33826962036466146</v>
      </c>
      <c r="T30" s="33">
        <f t="shared" ref="T30" si="65">T15/T6</f>
        <v>-0.3649413576053977</v>
      </c>
      <c r="U30" s="33">
        <f>U15/U6</f>
        <v>-0.33834450600062582</v>
      </c>
      <c r="V30" s="33">
        <f t="shared" ref="V30" si="66">V15/V6</f>
        <v>-0.29501227044511308</v>
      </c>
      <c r="W30" s="33">
        <f>W15/W6</f>
        <v>-0.26603887937165205</v>
      </c>
      <c r="X30" s="33">
        <f t="shared" ref="X30:Y30" si="67">X15/X6</f>
        <v>-0.37819600869393383</v>
      </c>
      <c r="Y30" s="33">
        <f t="shared" si="67"/>
        <v>-0.24855449746868472</v>
      </c>
      <c r="Z30" s="103">
        <f>Z15/Z6</f>
        <v>-0.20190029669648379</v>
      </c>
      <c r="AA30" s="118"/>
      <c r="AH30" s="33">
        <f t="shared" ref="AH30:AI30" si="68">AH15/AH6</f>
        <v>-0.35452420474948332</v>
      </c>
      <c r="AI30" s="33">
        <f t="shared" si="68"/>
        <v>-0.33116269275402793</v>
      </c>
      <c r="AJ30" s="104">
        <f t="shared" ref="AJ30" si="69">AJ15/AJ6</f>
        <v>-0.26997211924862163</v>
      </c>
      <c r="AK30" s="56"/>
    </row>
    <row r="31" spans="2:101" s="33" customFormat="1" x14ac:dyDescent="0.2">
      <c r="B31" s="33" t="s">
        <v>87</v>
      </c>
      <c r="S31" s="33">
        <f>S21/S6</f>
        <v>-0.35228573945212732</v>
      </c>
      <c r="T31" s="33">
        <f t="shared" ref="T31" si="70">T21/T6</f>
        <v>-0.38809642409696737</v>
      </c>
      <c r="U31" s="33">
        <f>U21/U6</f>
        <v>-0.33539597960272022</v>
      </c>
      <c r="V31" s="33">
        <f t="shared" ref="V31" si="71">V21/V6</f>
        <v>-0.336375303008698</v>
      </c>
      <c r="W31" s="33">
        <f>W21/W6</f>
        <v>-0.27078231685742005</v>
      </c>
      <c r="X31" s="33">
        <f t="shared" ref="X31:Y31" si="72">X21/X6</f>
        <v>-0.39144108542448774</v>
      </c>
      <c r="Y31" s="33">
        <f t="shared" si="72"/>
        <v>-0.2543035360483904</v>
      </c>
      <c r="Z31" s="103">
        <f>Z21/Z6</f>
        <v>-0.17823377025949858</v>
      </c>
      <c r="AA31" s="118"/>
      <c r="AH31" s="33">
        <f t="shared" ref="AH31:AI31" si="73">AH21/AH6</f>
        <v>-0.45215623835495777</v>
      </c>
      <c r="AI31" s="33">
        <f t="shared" si="73"/>
        <v>-0.35119286046176273</v>
      </c>
      <c r="AJ31" s="104">
        <f t="shared" ref="AJ31" si="74">AJ21/AJ6</f>
        <v>-0.26899317778262372</v>
      </c>
      <c r="AK31" s="56"/>
    </row>
    <row r="32" spans="2:101" s="33" customFormat="1" x14ac:dyDescent="0.2">
      <c r="B32" s="33" t="s">
        <v>88</v>
      </c>
      <c r="S32" s="33">
        <f>S20/S19</f>
        <v>2.1050055072818496E-2</v>
      </c>
      <c r="T32" s="33">
        <f t="shared" ref="T32" si="75">T20/T19</f>
        <v>-2.0345260929955689E-2</v>
      </c>
      <c r="U32" s="33">
        <f>U20/U19</f>
        <v>-3.0453622207176706E-2</v>
      </c>
      <c r="V32" s="33">
        <f t="shared" ref="V32" si="76">V20/V19</f>
        <v>-1.7780099005404421E-2</v>
      </c>
      <c r="W32" s="33">
        <f>W20/W19</f>
        <v>-1.5049640174397229E-2</v>
      </c>
      <c r="X32" s="33">
        <f t="shared" ref="X32:Y32" si="77">X20/X19</f>
        <v>-2.6326241624645998E-2</v>
      </c>
      <c r="Y32" s="33">
        <f t="shared" si="77"/>
        <v>-6.3090494449038872E-2</v>
      </c>
      <c r="Z32" s="103">
        <f>Z20/Z19</f>
        <v>-4.7394444083013507E-2</v>
      </c>
      <c r="AA32" s="118"/>
      <c r="AH32" s="33">
        <f t="shared" ref="AH32:AI32" si="78">AH20/AH19</f>
        <v>-1.6182387806298611E-2</v>
      </c>
      <c r="AI32" s="33">
        <f t="shared" si="78"/>
        <v>-1.3130222622809015E-2</v>
      </c>
      <c r="AJ32" s="104">
        <f t="shared" ref="AJ32" si="79">AJ20/AJ19</f>
        <v>-3.6440672880145464E-2</v>
      </c>
      <c r="AK32" s="56">
        <v>-0.05</v>
      </c>
      <c r="AL32" s="33">
        <v>-0.03</v>
      </c>
      <c r="AM32" s="33">
        <v>-0.02</v>
      </c>
      <c r="AN32" s="33">
        <v>0.05</v>
      </c>
      <c r="AO32" s="33">
        <v>0.05</v>
      </c>
      <c r="AP32" s="33">
        <v>0.1</v>
      </c>
      <c r="AQ32" s="33">
        <v>0.1</v>
      </c>
      <c r="AR32" s="33">
        <v>0.15</v>
      </c>
      <c r="AS32" s="33">
        <v>0.15</v>
      </c>
    </row>
    <row r="33" spans="2:37" s="33" customFormat="1" x14ac:dyDescent="0.2">
      <c r="Z33" s="104"/>
      <c r="AA33" s="118"/>
      <c r="AJ33" s="104"/>
      <c r="AK33" s="56"/>
    </row>
    <row r="34" spans="2:37" s="33" customFormat="1" x14ac:dyDescent="0.2">
      <c r="B34" s="71" t="s">
        <v>157</v>
      </c>
      <c r="Z34" s="104"/>
      <c r="AA34" s="118"/>
      <c r="AJ34" s="104"/>
      <c r="AK34" s="56"/>
    </row>
    <row r="35" spans="2:37" s="72" customFormat="1" x14ac:dyDescent="0.2">
      <c r="B35" s="72" t="s">
        <v>158</v>
      </c>
      <c r="Z35" s="105"/>
      <c r="AA35" s="119"/>
      <c r="AI35" s="72">
        <v>3544</v>
      </c>
      <c r="AJ35" s="105"/>
      <c r="AK35" s="73"/>
    </row>
    <row r="39" spans="2:37" x14ac:dyDescent="0.2">
      <c r="B39" s="37" t="s">
        <v>103</v>
      </c>
    </row>
    <row r="40" spans="2:37" s="2" customFormat="1" x14ac:dyDescent="0.2">
      <c r="B40" s="2" t="s">
        <v>5</v>
      </c>
      <c r="V40" s="31">
        <v>473.904</v>
      </c>
      <c r="W40" s="31">
        <v>456.27499999999998</v>
      </c>
      <c r="X40" s="31">
        <v>651.41999999999996</v>
      </c>
      <c r="Y40" s="31">
        <v>999.67399999999998</v>
      </c>
      <c r="Z40" s="110">
        <v>455.82600000000002</v>
      </c>
      <c r="AA40" s="120"/>
      <c r="AH40" s="31">
        <v>429.697</v>
      </c>
      <c r="AI40" s="31">
        <f>V40</f>
        <v>473.904</v>
      </c>
      <c r="AJ40" s="110">
        <f>Z40</f>
        <v>455.82600000000002</v>
      </c>
      <c r="AK40" s="53"/>
    </row>
    <row r="41" spans="2:37" s="2" customFormat="1" x14ac:dyDescent="0.2">
      <c r="B41" s="2" t="s">
        <v>104</v>
      </c>
      <c r="V41" s="31">
        <v>1352.019</v>
      </c>
      <c r="W41" s="31">
        <v>1372.42</v>
      </c>
      <c r="X41" s="31">
        <v>1144.192</v>
      </c>
      <c r="Y41" s="31">
        <v>787.85799999999995</v>
      </c>
      <c r="Z41" s="110">
        <v>1380.8040000000001</v>
      </c>
      <c r="AA41" s="120"/>
      <c r="AH41" s="31">
        <v>528.04499999999996</v>
      </c>
      <c r="AI41" s="31">
        <f>V41</f>
        <v>1352.019</v>
      </c>
      <c r="AJ41" s="110">
        <f>Z41</f>
        <v>1380.8040000000001</v>
      </c>
      <c r="AK41" s="53"/>
    </row>
    <row r="42" spans="2:37" x14ac:dyDescent="0.2">
      <c r="B42" s="1" t="s">
        <v>105</v>
      </c>
      <c r="V42" s="30">
        <v>195.38300000000001</v>
      </c>
      <c r="W42" s="30">
        <v>164.88499999999999</v>
      </c>
      <c r="X42" s="30">
        <v>213.267</v>
      </c>
      <c r="Y42" s="30">
        <v>231.26</v>
      </c>
      <c r="Z42" s="99">
        <v>285.19200000000001</v>
      </c>
      <c r="AH42" s="30">
        <v>135.17599999999999</v>
      </c>
      <c r="AI42" s="30">
        <f>V42</f>
        <v>195.38300000000001</v>
      </c>
      <c r="AJ42" s="99">
        <f>Z42</f>
        <v>285.19200000000001</v>
      </c>
    </row>
    <row r="43" spans="2:37" x14ac:dyDescent="0.2">
      <c r="B43" s="1" t="s">
        <v>106</v>
      </c>
      <c r="V43" s="30">
        <v>63.523000000000003</v>
      </c>
      <c r="W43" s="30">
        <v>66.754000000000005</v>
      </c>
      <c r="X43" s="30">
        <v>72.069000000000003</v>
      </c>
      <c r="Y43" s="30">
        <v>77.445999999999998</v>
      </c>
      <c r="Z43" s="99">
        <v>83.55</v>
      </c>
      <c r="AH43" s="30">
        <v>36.619</v>
      </c>
      <c r="AI43" s="30">
        <f t="shared" ref="AI43:AI50" si="80">V43</f>
        <v>63.523000000000003</v>
      </c>
      <c r="AJ43" s="99">
        <f t="shared" ref="AJ43:AJ44" si="81">Z43</f>
        <v>83.55</v>
      </c>
    </row>
    <row r="44" spans="2:37" x14ac:dyDescent="0.2">
      <c r="B44" s="1" t="s">
        <v>107</v>
      </c>
      <c r="V44" s="30">
        <v>32.573</v>
      </c>
      <c r="W44" s="30">
        <v>35.972999999999999</v>
      </c>
      <c r="X44" s="30">
        <v>27.565999999999999</v>
      </c>
      <c r="Y44" s="30">
        <v>26.016999999999999</v>
      </c>
      <c r="Z44" s="99">
        <v>31.212</v>
      </c>
      <c r="AH44" s="30">
        <v>12.35</v>
      </c>
      <c r="AI44" s="30">
        <f t="shared" si="80"/>
        <v>32.573</v>
      </c>
      <c r="AJ44" s="99">
        <f t="shared" si="81"/>
        <v>31.212</v>
      </c>
    </row>
    <row r="45" spans="2:37" x14ac:dyDescent="0.2">
      <c r="B45" s="1" t="s">
        <v>108</v>
      </c>
      <c r="C45" s="30">
        <f t="shared" ref="C45:V45" si="82">SUM(C40:C44)</f>
        <v>0</v>
      </c>
      <c r="D45" s="30">
        <f t="shared" si="82"/>
        <v>0</v>
      </c>
      <c r="E45" s="30">
        <f t="shared" si="82"/>
        <v>0</v>
      </c>
      <c r="F45" s="30">
        <f t="shared" si="82"/>
        <v>0</v>
      </c>
      <c r="G45" s="30">
        <f t="shared" si="82"/>
        <v>0</v>
      </c>
      <c r="H45" s="30">
        <f t="shared" si="82"/>
        <v>0</v>
      </c>
      <c r="I45" s="30">
        <f t="shared" si="82"/>
        <v>0</v>
      </c>
      <c r="J45" s="30">
        <f t="shared" si="82"/>
        <v>0</v>
      </c>
      <c r="K45" s="30">
        <f t="shared" si="82"/>
        <v>0</v>
      </c>
      <c r="L45" s="30">
        <f t="shared" si="82"/>
        <v>0</v>
      </c>
      <c r="M45" s="30">
        <f t="shared" si="82"/>
        <v>0</v>
      </c>
      <c r="N45" s="30">
        <f t="shared" si="82"/>
        <v>0</v>
      </c>
      <c r="O45" s="30">
        <f t="shared" si="82"/>
        <v>0</v>
      </c>
      <c r="P45" s="30">
        <f t="shared" si="82"/>
        <v>0</v>
      </c>
      <c r="Q45" s="30">
        <f t="shared" si="82"/>
        <v>0</v>
      </c>
      <c r="R45" s="30">
        <f t="shared" si="82"/>
        <v>0</v>
      </c>
      <c r="S45" s="30">
        <f t="shared" si="82"/>
        <v>0</v>
      </c>
      <c r="T45" s="30">
        <f t="shared" si="82"/>
        <v>0</v>
      </c>
      <c r="U45" s="30">
        <f t="shared" si="82"/>
        <v>0</v>
      </c>
      <c r="V45" s="30">
        <f t="shared" si="82"/>
        <v>2117.402</v>
      </c>
      <c r="W45" s="30">
        <f>SUM(W40:W44)</f>
        <v>2096.3070000000002</v>
      </c>
      <c r="X45" s="30">
        <f t="shared" ref="X45:Z45" si="83">SUM(X40:X44)</f>
        <v>2108.5140000000001</v>
      </c>
      <c r="Y45" s="30">
        <f t="shared" si="83"/>
        <v>2122.2549999999997</v>
      </c>
      <c r="Z45" s="30">
        <f t="shared" si="83"/>
        <v>2236.5840000000003</v>
      </c>
      <c r="AH45" s="30">
        <f t="shared" ref="AH45:AJ45" si="84">SUM(AH40:AH44)</f>
        <v>1141.8869999999997</v>
      </c>
      <c r="AI45" s="30">
        <f t="shared" si="84"/>
        <v>2117.402</v>
      </c>
      <c r="AJ45" s="30">
        <f t="shared" si="84"/>
        <v>2236.5840000000003</v>
      </c>
    </row>
    <row r="46" spans="2:37" x14ac:dyDescent="0.2">
      <c r="B46" s="1" t="s">
        <v>109</v>
      </c>
      <c r="V46" s="30">
        <v>62.625</v>
      </c>
      <c r="W46" s="30">
        <v>62.761000000000003</v>
      </c>
      <c r="X46" s="30">
        <v>61.603999999999999</v>
      </c>
      <c r="Y46" s="30">
        <v>59.488999999999997</v>
      </c>
      <c r="Z46" s="99">
        <v>57.841000000000001</v>
      </c>
      <c r="AH46" s="30">
        <v>62.363999999999997</v>
      </c>
      <c r="AI46" s="30">
        <f t="shared" si="80"/>
        <v>62.625</v>
      </c>
      <c r="AJ46" s="99">
        <f t="shared" ref="AJ46:AJ50" si="85">Z46</f>
        <v>57.841000000000001</v>
      </c>
    </row>
    <row r="47" spans="2:37" x14ac:dyDescent="0.2">
      <c r="B47" s="1" t="s">
        <v>110</v>
      </c>
      <c r="V47" s="30">
        <v>41.744999999999997</v>
      </c>
      <c r="W47" s="30">
        <v>45.247999999999998</v>
      </c>
      <c r="X47" s="30">
        <v>46.417999999999999</v>
      </c>
      <c r="Y47" s="30">
        <v>43.484999999999999</v>
      </c>
      <c r="Z47" s="99">
        <v>41.194000000000003</v>
      </c>
      <c r="AH47" s="30">
        <v>34.587000000000003</v>
      </c>
      <c r="AI47" s="30">
        <f t="shared" si="80"/>
        <v>41.744999999999997</v>
      </c>
      <c r="AJ47" s="99">
        <f t="shared" si="85"/>
        <v>41.194000000000003</v>
      </c>
    </row>
    <row r="48" spans="2:37" x14ac:dyDescent="0.2">
      <c r="B48" s="1" t="s">
        <v>111</v>
      </c>
      <c r="V48" s="30">
        <f>57.775+20.608</f>
        <v>78.382999999999996</v>
      </c>
      <c r="W48" s="30">
        <f>57.775+18.313</f>
        <v>76.087999999999994</v>
      </c>
      <c r="X48" s="30">
        <f>16.018+57.779</f>
        <v>73.796999999999997</v>
      </c>
      <c r="Y48" s="30">
        <f>57.779+13.723</f>
        <v>71.50200000000001</v>
      </c>
      <c r="Z48" s="99">
        <f>57.779+11.428</f>
        <v>69.207000000000008</v>
      </c>
      <c r="AH48" s="30">
        <f>55.83+26.275</f>
        <v>82.10499999999999</v>
      </c>
      <c r="AI48" s="30">
        <f t="shared" si="80"/>
        <v>78.382999999999996</v>
      </c>
      <c r="AJ48" s="99">
        <f t="shared" si="85"/>
        <v>69.207000000000008</v>
      </c>
    </row>
    <row r="49" spans="2:37" x14ac:dyDescent="0.2">
      <c r="B49" s="1" t="s">
        <v>112</v>
      </c>
      <c r="V49" s="30">
        <v>1.9390000000000001</v>
      </c>
      <c r="W49" s="30">
        <v>1.9630000000000001</v>
      </c>
      <c r="X49" s="30">
        <v>2.1629999999999998</v>
      </c>
      <c r="Y49" s="30">
        <v>1.657</v>
      </c>
      <c r="Z49" s="99">
        <v>2.5640000000000001</v>
      </c>
      <c r="AH49" s="30">
        <v>0.997</v>
      </c>
      <c r="AI49" s="30">
        <f t="shared" si="80"/>
        <v>1.9390000000000001</v>
      </c>
      <c r="AJ49" s="99">
        <f t="shared" si="85"/>
        <v>2.5640000000000001</v>
      </c>
    </row>
    <row r="50" spans="2:37" x14ac:dyDescent="0.2">
      <c r="B50" s="1" t="s">
        <v>113</v>
      </c>
      <c r="V50" s="30">
        <v>147.494</v>
      </c>
      <c r="W50" s="30">
        <v>152.17400000000001</v>
      </c>
      <c r="X50" s="30">
        <v>159.102</v>
      </c>
      <c r="Y50" s="30">
        <v>168.798</v>
      </c>
      <c r="Z50" s="99">
        <v>181.50299999999999</v>
      </c>
      <c r="AH50" s="30">
        <v>85.555000000000007</v>
      </c>
      <c r="AI50" s="30">
        <f t="shared" si="80"/>
        <v>147.494</v>
      </c>
      <c r="AJ50" s="99">
        <f t="shared" si="85"/>
        <v>181.50299999999999</v>
      </c>
    </row>
    <row r="51" spans="2:37" x14ac:dyDescent="0.2">
      <c r="B51" s="1" t="s">
        <v>114</v>
      </c>
      <c r="C51" s="30">
        <f t="shared" ref="C51:V51" si="86">C45+SUM(C46:C50)</f>
        <v>0</v>
      </c>
      <c r="D51" s="30">
        <f t="shared" si="86"/>
        <v>0</v>
      </c>
      <c r="E51" s="30">
        <f t="shared" si="86"/>
        <v>0</v>
      </c>
      <c r="F51" s="30">
        <f t="shared" si="86"/>
        <v>0</v>
      </c>
      <c r="G51" s="30">
        <f t="shared" si="86"/>
        <v>0</v>
      </c>
      <c r="H51" s="30">
        <f t="shared" si="86"/>
        <v>0</v>
      </c>
      <c r="I51" s="30">
        <f t="shared" si="86"/>
        <v>0</v>
      </c>
      <c r="J51" s="30">
        <f t="shared" si="86"/>
        <v>0</v>
      </c>
      <c r="K51" s="30">
        <f t="shared" si="86"/>
        <v>0</v>
      </c>
      <c r="L51" s="30">
        <f t="shared" si="86"/>
        <v>0</v>
      </c>
      <c r="M51" s="30">
        <f t="shared" si="86"/>
        <v>0</v>
      </c>
      <c r="N51" s="30">
        <f t="shared" si="86"/>
        <v>0</v>
      </c>
      <c r="O51" s="30">
        <f t="shared" si="86"/>
        <v>0</v>
      </c>
      <c r="P51" s="30">
        <f t="shared" si="86"/>
        <v>0</v>
      </c>
      <c r="Q51" s="30">
        <f t="shared" si="86"/>
        <v>0</v>
      </c>
      <c r="R51" s="30">
        <f t="shared" si="86"/>
        <v>0</v>
      </c>
      <c r="S51" s="30">
        <f t="shared" si="86"/>
        <v>0</v>
      </c>
      <c r="T51" s="30">
        <f t="shared" si="86"/>
        <v>0</v>
      </c>
      <c r="U51" s="30">
        <f t="shared" si="86"/>
        <v>0</v>
      </c>
      <c r="V51" s="30">
        <f t="shared" si="86"/>
        <v>2449.5880000000002</v>
      </c>
      <c r="W51" s="30">
        <f>W45+SUM(W46:W50)</f>
        <v>2434.5410000000002</v>
      </c>
      <c r="X51" s="30">
        <f>X45+SUM(X46:X50)</f>
        <v>2451.598</v>
      </c>
      <c r="Y51" s="30">
        <f>Y45+SUM(Y46:Y50)</f>
        <v>2467.1859999999997</v>
      </c>
      <c r="Z51" s="30">
        <f>Z45+SUM(Z46:Z50)</f>
        <v>2588.893</v>
      </c>
      <c r="AH51" s="30">
        <f>AH45+SUM(AH46:AH50)</f>
        <v>1407.4949999999997</v>
      </c>
      <c r="AI51" s="30">
        <f>AI45+SUM(AI46:AI50)</f>
        <v>2449.5880000000002</v>
      </c>
      <c r="AJ51" s="30">
        <f t="shared" ref="AJ51" si="87">AJ45+SUM(AJ46:AJ50)</f>
        <v>2588.893</v>
      </c>
    </row>
    <row r="52" spans="2:37" x14ac:dyDescent="0.2">
      <c r="Z52" s="99"/>
    </row>
    <row r="53" spans="2:37" x14ac:dyDescent="0.2">
      <c r="B53" s="1" t="s">
        <v>115</v>
      </c>
      <c r="V53" s="30">
        <v>5.234</v>
      </c>
      <c r="W53" s="30">
        <v>6.2039999999999997</v>
      </c>
      <c r="X53" s="30">
        <v>7.3029999999999999</v>
      </c>
      <c r="Y53" s="30">
        <v>7.734</v>
      </c>
      <c r="Z53" s="99">
        <v>8.2949999999999999</v>
      </c>
      <c r="AH53" s="30">
        <v>4.1440000000000001</v>
      </c>
      <c r="AI53" s="30">
        <f>V53</f>
        <v>5.234</v>
      </c>
      <c r="AJ53" s="99">
        <f t="shared" ref="AJ53:AJ57" si="88">Z53</f>
        <v>8.2949999999999999</v>
      </c>
    </row>
    <row r="54" spans="2:37" x14ac:dyDescent="0.2">
      <c r="B54" s="1" t="s">
        <v>116</v>
      </c>
      <c r="V54" s="30">
        <v>112.568</v>
      </c>
      <c r="W54" s="30">
        <v>87.716999999999999</v>
      </c>
      <c r="X54" s="30">
        <v>83.805999999999997</v>
      </c>
      <c r="Y54" s="30">
        <v>84.442999999999998</v>
      </c>
      <c r="Z54" s="99">
        <v>90.111999999999995</v>
      </c>
      <c r="AH54" s="30">
        <v>70.209999999999994</v>
      </c>
      <c r="AI54" s="30">
        <f t="shared" ref="AI54:AI57" si="89">V54</f>
        <v>112.568</v>
      </c>
      <c r="AJ54" s="99">
        <f t="shared" si="88"/>
        <v>90.111999999999995</v>
      </c>
    </row>
    <row r="55" spans="2:37" x14ac:dyDescent="0.2">
      <c r="B55" s="1" t="s">
        <v>117</v>
      </c>
      <c r="V55" s="30">
        <v>8.0839999999999996</v>
      </c>
      <c r="W55" s="30">
        <v>8.6709999999999994</v>
      </c>
      <c r="X55" s="30">
        <v>9.1630000000000003</v>
      </c>
      <c r="Y55" s="30">
        <v>8.6449999999999996</v>
      </c>
      <c r="Z55" s="99">
        <v>8.6859999999999999</v>
      </c>
      <c r="AH55" s="30">
        <v>2.343</v>
      </c>
      <c r="AI55" s="30">
        <f t="shared" si="89"/>
        <v>8.0839999999999996</v>
      </c>
      <c r="AJ55" s="99">
        <f t="shared" si="88"/>
        <v>8.6859999999999999</v>
      </c>
    </row>
    <row r="56" spans="2:37" x14ac:dyDescent="0.2">
      <c r="B56" s="1" t="s">
        <v>118</v>
      </c>
      <c r="V56" s="30">
        <v>48.847999999999999</v>
      </c>
      <c r="W56" s="30">
        <v>49.216000000000001</v>
      </c>
      <c r="X56" s="30">
        <v>73.915999999999997</v>
      </c>
      <c r="Y56" s="30">
        <v>52.826000000000001</v>
      </c>
      <c r="Z56" s="99">
        <v>52.671999999999997</v>
      </c>
      <c r="AH56" s="30">
        <v>56.44</v>
      </c>
      <c r="AI56" s="30">
        <f t="shared" si="89"/>
        <v>48.847999999999999</v>
      </c>
      <c r="AJ56" s="99">
        <f t="shared" si="88"/>
        <v>52.671999999999997</v>
      </c>
    </row>
    <row r="57" spans="2:37" x14ac:dyDescent="0.2">
      <c r="B57" s="1" t="s">
        <v>119</v>
      </c>
      <c r="V57" s="30">
        <v>352.00099999999998</v>
      </c>
      <c r="W57" s="30">
        <v>351.91399999999999</v>
      </c>
      <c r="X57" s="30">
        <v>350.709</v>
      </c>
      <c r="Y57" s="30">
        <v>364.15899999999999</v>
      </c>
      <c r="Z57" s="99">
        <v>428.74700000000001</v>
      </c>
      <c r="AH57" s="30">
        <v>221.404</v>
      </c>
      <c r="AI57" s="30">
        <f t="shared" si="89"/>
        <v>352.00099999999998</v>
      </c>
      <c r="AJ57" s="99">
        <f t="shared" si="88"/>
        <v>428.74700000000001</v>
      </c>
    </row>
    <row r="58" spans="2:37" x14ac:dyDescent="0.2">
      <c r="B58" s="1" t="s">
        <v>120</v>
      </c>
      <c r="C58" s="30">
        <f t="shared" ref="C58:V58" si="90">SUM(C53:C57)</f>
        <v>0</v>
      </c>
      <c r="D58" s="30">
        <f t="shared" si="90"/>
        <v>0</v>
      </c>
      <c r="E58" s="30">
        <f t="shared" si="90"/>
        <v>0</v>
      </c>
      <c r="F58" s="30">
        <f t="shared" si="90"/>
        <v>0</v>
      </c>
      <c r="G58" s="30">
        <f t="shared" si="90"/>
        <v>0</v>
      </c>
      <c r="H58" s="30">
        <f t="shared" si="90"/>
        <v>0</v>
      </c>
      <c r="I58" s="30">
        <f t="shared" si="90"/>
        <v>0</v>
      </c>
      <c r="J58" s="30">
        <f t="shared" si="90"/>
        <v>0</v>
      </c>
      <c r="K58" s="30">
        <f t="shared" si="90"/>
        <v>0</v>
      </c>
      <c r="L58" s="30">
        <f t="shared" si="90"/>
        <v>0</v>
      </c>
      <c r="M58" s="30">
        <f t="shared" si="90"/>
        <v>0</v>
      </c>
      <c r="N58" s="30">
        <f t="shared" si="90"/>
        <v>0</v>
      </c>
      <c r="O58" s="30">
        <f t="shared" si="90"/>
        <v>0</v>
      </c>
      <c r="P58" s="30">
        <f t="shared" si="90"/>
        <v>0</v>
      </c>
      <c r="Q58" s="30">
        <f t="shared" si="90"/>
        <v>0</v>
      </c>
      <c r="R58" s="30">
        <f t="shared" si="90"/>
        <v>0</v>
      </c>
      <c r="S58" s="30">
        <f t="shared" si="90"/>
        <v>0</v>
      </c>
      <c r="T58" s="30">
        <f t="shared" si="90"/>
        <v>0</v>
      </c>
      <c r="U58" s="30">
        <f t="shared" si="90"/>
        <v>0</v>
      </c>
      <c r="V58" s="30">
        <f t="shared" si="90"/>
        <v>526.7349999999999</v>
      </c>
      <c r="W58" s="30">
        <f>SUM(W53:W57)</f>
        <v>503.72199999999998</v>
      </c>
      <c r="X58" s="30">
        <f>SUM(X53:X57)</f>
        <v>524.89699999999993</v>
      </c>
      <c r="Y58" s="30">
        <f>SUM(Y53:Y57)</f>
        <v>517.80700000000002</v>
      </c>
      <c r="Z58" s="30">
        <f>SUM(Z53:Z57)</f>
        <v>588.51199999999994</v>
      </c>
      <c r="AH58" s="30">
        <f>SUM(AH53:AH57)</f>
        <v>354.541</v>
      </c>
      <c r="AI58" s="30">
        <f>SUM(AI53:AI57)</f>
        <v>526.7349999999999</v>
      </c>
      <c r="AJ58" s="30">
        <f t="shared" ref="AJ58" si="91">SUM(AJ53:AJ57)</f>
        <v>588.51199999999994</v>
      </c>
    </row>
    <row r="59" spans="2:37" x14ac:dyDescent="0.2">
      <c r="B59" s="1" t="s">
        <v>112</v>
      </c>
      <c r="V59" s="30">
        <v>8.1000000000000003E-2</v>
      </c>
      <c r="W59" s="30">
        <v>9.2999999999999999E-2</v>
      </c>
      <c r="X59" s="30">
        <v>9.5000000000000001E-2</v>
      </c>
      <c r="Y59" s="30">
        <v>0.40600000000000003</v>
      </c>
      <c r="Z59" s="99">
        <v>0.22500000000000001</v>
      </c>
      <c r="AH59" s="30">
        <v>0.77300000000000002</v>
      </c>
      <c r="AI59" s="30">
        <f>W59</f>
        <v>9.2999999999999999E-2</v>
      </c>
      <c r="AJ59" s="99">
        <f t="shared" ref="AJ59:AJ63" si="92">Z59</f>
        <v>0.22500000000000001</v>
      </c>
    </row>
    <row r="60" spans="2:37" x14ac:dyDescent="0.2">
      <c r="B60" s="1" t="s">
        <v>117</v>
      </c>
      <c r="V60" s="30">
        <v>38.707000000000001</v>
      </c>
      <c r="W60" s="30">
        <v>40.279000000000003</v>
      </c>
      <c r="X60" s="30">
        <v>40.436999999999998</v>
      </c>
      <c r="Y60" s="30">
        <v>37.261000000000003</v>
      </c>
      <c r="Z60" s="99">
        <v>36.264000000000003</v>
      </c>
      <c r="AH60" s="30">
        <v>39.094999999999999</v>
      </c>
      <c r="AI60" s="30">
        <f>V60</f>
        <v>38.707000000000001</v>
      </c>
      <c r="AJ60" s="99">
        <f t="shared" si="92"/>
        <v>36.264000000000003</v>
      </c>
    </row>
    <row r="61" spans="2:37" x14ac:dyDescent="0.2">
      <c r="B61" s="1" t="s">
        <v>119</v>
      </c>
      <c r="V61" s="30">
        <v>23.178999999999998</v>
      </c>
      <c r="W61" s="30">
        <v>23.555</v>
      </c>
      <c r="X61" s="30">
        <v>24.462</v>
      </c>
      <c r="Y61" s="30">
        <v>34.014000000000003</v>
      </c>
      <c r="Z61" s="99">
        <v>31.524000000000001</v>
      </c>
      <c r="AH61" s="30">
        <v>16.547000000000001</v>
      </c>
      <c r="AI61" s="30">
        <f t="shared" ref="AI61" si="93">V61</f>
        <v>23.178999999999998</v>
      </c>
      <c r="AJ61" s="99">
        <f t="shared" si="92"/>
        <v>31.524000000000001</v>
      </c>
    </row>
    <row r="62" spans="2:37" s="2" customFormat="1" x14ac:dyDescent="0.2">
      <c r="B62" s="2" t="s">
        <v>121</v>
      </c>
      <c r="V62" s="31">
        <v>1136.521</v>
      </c>
      <c r="W62" s="31">
        <v>1137.3610000000001</v>
      </c>
      <c r="X62" s="31">
        <v>1138.2</v>
      </c>
      <c r="Y62" s="31">
        <v>1139.0419999999999</v>
      </c>
      <c r="Z62" s="31">
        <v>1139.8800000000001</v>
      </c>
      <c r="AA62" s="120"/>
      <c r="AH62" s="31">
        <v>937.72900000000004</v>
      </c>
      <c r="AI62" s="31">
        <f>V62</f>
        <v>1136.521</v>
      </c>
      <c r="AJ62" s="99">
        <f t="shared" si="92"/>
        <v>1139.8800000000001</v>
      </c>
      <c r="AK62" s="53"/>
    </row>
    <row r="63" spans="2:37" x14ac:dyDescent="0.2">
      <c r="B63" s="1" t="s">
        <v>122</v>
      </c>
      <c r="V63" s="30">
        <v>57.664999999999999</v>
      </c>
      <c r="W63" s="31">
        <v>56.652000000000001</v>
      </c>
      <c r="X63" s="30">
        <v>55.338999999999999</v>
      </c>
      <c r="Y63" s="30">
        <v>54.374000000000002</v>
      </c>
      <c r="Z63" s="99">
        <v>52.98</v>
      </c>
      <c r="AH63" s="30">
        <v>59.128999999999998</v>
      </c>
      <c r="AI63" s="30">
        <f t="shared" ref="AI63" si="94">V63</f>
        <v>57.664999999999999</v>
      </c>
      <c r="AJ63" s="99">
        <f t="shared" si="92"/>
        <v>52.98</v>
      </c>
    </row>
    <row r="64" spans="2:37" x14ac:dyDescent="0.2">
      <c r="B64" s="1" t="s">
        <v>123</v>
      </c>
      <c r="C64" s="30">
        <f t="shared" ref="C64:V64" si="95">C58+SUM(C59:C63)</f>
        <v>0</v>
      </c>
      <c r="D64" s="30">
        <f t="shared" si="95"/>
        <v>0</v>
      </c>
      <c r="E64" s="30">
        <f t="shared" si="95"/>
        <v>0</v>
      </c>
      <c r="F64" s="30">
        <f t="shared" si="95"/>
        <v>0</v>
      </c>
      <c r="G64" s="30">
        <f t="shared" si="95"/>
        <v>0</v>
      </c>
      <c r="H64" s="30">
        <f t="shared" si="95"/>
        <v>0</v>
      </c>
      <c r="I64" s="30">
        <f t="shared" si="95"/>
        <v>0</v>
      </c>
      <c r="J64" s="30">
        <f t="shared" si="95"/>
        <v>0</v>
      </c>
      <c r="K64" s="30">
        <f t="shared" si="95"/>
        <v>0</v>
      </c>
      <c r="L64" s="30">
        <f t="shared" si="95"/>
        <v>0</v>
      </c>
      <c r="M64" s="30">
        <f t="shared" si="95"/>
        <v>0</v>
      </c>
      <c r="N64" s="30">
        <f t="shared" si="95"/>
        <v>0</v>
      </c>
      <c r="O64" s="30">
        <f t="shared" si="95"/>
        <v>0</v>
      </c>
      <c r="P64" s="30">
        <f t="shared" si="95"/>
        <v>0</v>
      </c>
      <c r="Q64" s="30">
        <f t="shared" si="95"/>
        <v>0</v>
      </c>
      <c r="R64" s="30">
        <f t="shared" si="95"/>
        <v>0</v>
      </c>
      <c r="S64" s="30">
        <f t="shared" si="95"/>
        <v>0</v>
      </c>
      <c r="T64" s="30">
        <f t="shared" si="95"/>
        <v>0</v>
      </c>
      <c r="U64" s="30">
        <f t="shared" si="95"/>
        <v>0</v>
      </c>
      <c r="V64" s="30">
        <f t="shared" si="95"/>
        <v>1782.8879999999999</v>
      </c>
      <c r="W64" s="30">
        <f>W58+SUM(W59:W63)</f>
        <v>1761.662</v>
      </c>
      <c r="X64" s="30">
        <f>X58+SUM(X59:X63)</f>
        <v>1783.4299999999998</v>
      </c>
      <c r="Y64" s="30">
        <f>Y58+SUM(Y59:Y63)</f>
        <v>1782.904</v>
      </c>
      <c r="Z64" s="30">
        <f>Z58+SUM(Z59:Z63)</f>
        <v>1849.385</v>
      </c>
      <c r="AH64" s="30">
        <f>AH58+SUM(AH59:AH63)</f>
        <v>1407.8139999999999</v>
      </c>
      <c r="AI64" s="30">
        <f>AI58+SUM(AI59:AI63)</f>
        <v>1782.8999999999999</v>
      </c>
      <c r="AJ64" s="30">
        <f t="shared" ref="AJ64" si="96">AJ58+SUM(AJ59:AJ63)</f>
        <v>1849.385</v>
      </c>
    </row>
    <row r="65" spans="2:37" x14ac:dyDescent="0.2">
      <c r="Z65" s="99"/>
    </row>
    <row r="66" spans="2:37" x14ac:dyDescent="0.2">
      <c r="B66" s="1" t="s">
        <v>124</v>
      </c>
      <c r="V66" s="1">
        <v>666.7</v>
      </c>
      <c r="W66" s="30">
        <v>672.87900000000002</v>
      </c>
      <c r="X66" s="30">
        <v>668.16800000000001</v>
      </c>
      <c r="Y66" s="30">
        <v>684.28200000000004</v>
      </c>
      <c r="Z66" s="99">
        <v>739.50800000000004</v>
      </c>
      <c r="AH66" s="1">
        <v>-5.0330000000000004</v>
      </c>
      <c r="AI66" s="1">
        <f>V66</f>
        <v>666.7</v>
      </c>
      <c r="AJ66" s="99">
        <f>Z66</f>
        <v>739.50800000000004</v>
      </c>
    </row>
    <row r="67" spans="2:37" x14ac:dyDescent="0.2">
      <c r="B67" s="1" t="s">
        <v>125</v>
      </c>
      <c r="C67" s="30">
        <f t="shared" ref="C67" si="97">C66+C64</f>
        <v>0</v>
      </c>
      <c r="D67" s="30">
        <f t="shared" ref="D67" si="98">D66+D64</f>
        <v>0</v>
      </c>
      <c r="E67" s="30">
        <f t="shared" ref="E67" si="99">E66+E64</f>
        <v>0</v>
      </c>
      <c r="F67" s="30">
        <f t="shared" ref="F67" si="100">F66+F64</f>
        <v>0</v>
      </c>
      <c r="G67" s="30">
        <f t="shared" ref="G67" si="101">G66+G64</f>
        <v>0</v>
      </c>
      <c r="H67" s="30">
        <f t="shared" ref="H67" si="102">H66+H64</f>
        <v>0</v>
      </c>
      <c r="I67" s="30">
        <f t="shared" ref="I67" si="103">I66+I64</f>
        <v>0</v>
      </c>
      <c r="J67" s="30">
        <f t="shared" ref="J67" si="104">J66+J64</f>
        <v>0</v>
      </c>
      <c r="K67" s="30">
        <f t="shared" ref="K67" si="105">K66+K64</f>
        <v>0</v>
      </c>
      <c r="L67" s="30">
        <f t="shared" ref="L67" si="106">L66+L64</f>
        <v>0</v>
      </c>
      <c r="M67" s="30">
        <f t="shared" ref="M67" si="107">M66+M64</f>
        <v>0</v>
      </c>
      <c r="N67" s="30">
        <f t="shared" ref="N67" si="108">N66+N64</f>
        <v>0</v>
      </c>
      <c r="O67" s="30">
        <f t="shared" ref="O67" si="109">O66+O64</f>
        <v>0</v>
      </c>
      <c r="P67" s="30">
        <f t="shared" ref="P67" si="110">P66+P64</f>
        <v>0</v>
      </c>
      <c r="Q67" s="30">
        <f t="shared" ref="Q67" si="111">Q66+Q64</f>
        <v>0</v>
      </c>
      <c r="R67" s="30">
        <f t="shared" ref="R67" si="112">R66+R64</f>
        <v>0</v>
      </c>
      <c r="S67" s="30">
        <f t="shared" ref="S67" si="113">S66+S64</f>
        <v>0</v>
      </c>
      <c r="T67" s="30">
        <f t="shared" ref="T67" si="114">T66+T64</f>
        <v>0</v>
      </c>
      <c r="U67" s="30">
        <f t="shared" ref="U67" si="115">U66+U64</f>
        <v>0</v>
      </c>
      <c r="V67" s="30">
        <f t="shared" ref="V67" si="116">V66+V64</f>
        <v>2449.5879999999997</v>
      </c>
      <c r="W67" s="30">
        <f t="shared" ref="W67:Z67" si="117">W66+W64</f>
        <v>2434.5410000000002</v>
      </c>
      <c r="X67" s="30">
        <f t="shared" ref="X67" si="118">X66+X64</f>
        <v>2451.598</v>
      </c>
      <c r="Y67" s="30">
        <f t="shared" si="117"/>
        <v>2467.1860000000001</v>
      </c>
      <c r="Z67" s="30">
        <f t="shared" si="117"/>
        <v>2588.893</v>
      </c>
      <c r="AG67" s="47"/>
      <c r="AH67" s="30">
        <f>AH66+AH64</f>
        <v>1402.7809999999999</v>
      </c>
      <c r="AI67" s="30">
        <f t="shared" ref="AI67:AJ67" si="119">AI66+AI64</f>
        <v>2449.6</v>
      </c>
      <c r="AJ67" s="30">
        <f t="shared" si="119"/>
        <v>2588.893</v>
      </c>
    </row>
    <row r="68" spans="2:37" x14ac:dyDescent="0.2">
      <c r="AG68" s="47"/>
    </row>
    <row r="69" spans="2:37" x14ac:dyDescent="0.2">
      <c r="B69" s="1" t="s">
        <v>126</v>
      </c>
      <c r="C69" s="30">
        <f t="shared" ref="C69:V69" si="120">C51-C64</f>
        <v>0</v>
      </c>
      <c r="D69" s="30">
        <f t="shared" si="120"/>
        <v>0</v>
      </c>
      <c r="E69" s="30">
        <f t="shared" si="120"/>
        <v>0</v>
      </c>
      <c r="F69" s="30">
        <f t="shared" si="120"/>
        <v>0</v>
      </c>
      <c r="G69" s="30">
        <f t="shared" si="120"/>
        <v>0</v>
      </c>
      <c r="H69" s="30">
        <f t="shared" si="120"/>
        <v>0</v>
      </c>
      <c r="I69" s="30">
        <f t="shared" si="120"/>
        <v>0</v>
      </c>
      <c r="J69" s="30">
        <f t="shared" si="120"/>
        <v>0</v>
      </c>
      <c r="K69" s="30">
        <f t="shared" si="120"/>
        <v>0</v>
      </c>
      <c r="L69" s="30">
        <f t="shared" si="120"/>
        <v>0</v>
      </c>
      <c r="M69" s="30">
        <f t="shared" si="120"/>
        <v>0</v>
      </c>
      <c r="N69" s="30">
        <f t="shared" si="120"/>
        <v>0</v>
      </c>
      <c r="O69" s="30">
        <f t="shared" si="120"/>
        <v>0</v>
      </c>
      <c r="P69" s="30">
        <f t="shared" si="120"/>
        <v>0</v>
      </c>
      <c r="Q69" s="30">
        <f t="shared" si="120"/>
        <v>0</v>
      </c>
      <c r="R69" s="30">
        <f t="shared" si="120"/>
        <v>0</v>
      </c>
      <c r="S69" s="30">
        <f t="shared" si="120"/>
        <v>0</v>
      </c>
      <c r="T69" s="30">
        <f t="shared" si="120"/>
        <v>0</v>
      </c>
      <c r="U69" s="30">
        <f t="shared" si="120"/>
        <v>0</v>
      </c>
      <c r="V69" s="30">
        <f t="shared" si="120"/>
        <v>666.70000000000027</v>
      </c>
      <c r="W69" s="30">
        <f>W51-W64</f>
        <v>672.87900000000013</v>
      </c>
      <c r="X69" s="30">
        <f t="shared" ref="X69:Y69" si="121">X51-X64</f>
        <v>668.16800000000012</v>
      </c>
      <c r="Y69" s="30">
        <f t="shared" si="121"/>
        <v>684.2819999999997</v>
      </c>
      <c r="Z69" s="30">
        <f t="shared" ref="Z69" si="122">Z51-Z64</f>
        <v>739.50800000000004</v>
      </c>
      <c r="AG69" s="47"/>
      <c r="AH69" s="30">
        <f t="shared" ref="AH69:AI69" si="123">AH51-AH64</f>
        <v>-0.31900000000018736</v>
      </c>
      <c r="AI69" s="30">
        <f t="shared" si="123"/>
        <v>666.68800000000033</v>
      </c>
      <c r="AJ69" s="30">
        <f t="shared" ref="AJ69" si="124">AJ51-AJ64</f>
        <v>739.50800000000004</v>
      </c>
    </row>
    <row r="70" spans="2:37" x14ac:dyDescent="0.2">
      <c r="B70" s="1" t="s">
        <v>127</v>
      </c>
      <c r="C70" s="1" t="e">
        <f t="shared" ref="C70:U70" si="125">C69/C23</f>
        <v>#DIV/0!</v>
      </c>
      <c r="D70" s="1" t="e">
        <f t="shared" si="125"/>
        <v>#DIV/0!</v>
      </c>
      <c r="E70" s="1" t="e">
        <f t="shared" si="125"/>
        <v>#DIV/0!</v>
      </c>
      <c r="F70" s="1" t="e">
        <f t="shared" si="125"/>
        <v>#DIV/0!</v>
      </c>
      <c r="G70" s="1" t="e">
        <f t="shared" si="125"/>
        <v>#DIV/0!</v>
      </c>
      <c r="H70" s="1" t="e">
        <f t="shared" si="125"/>
        <v>#DIV/0!</v>
      </c>
      <c r="I70" s="1" t="e">
        <f t="shared" si="125"/>
        <v>#DIV/0!</v>
      </c>
      <c r="J70" s="1" t="e">
        <f t="shared" si="125"/>
        <v>#DIV/0!</v>
      </c>
      <c r="K70" s="1" t="e">
        <f t="shared" si="125"/>
        <v>#DIV/0!</v>
      </c>
      <c r="L70" s="1" t="e">
        <f t="shared" si="125"/>
        <v>#DIV/0!</v>
      </c>
      <c r="M70" s="1" t="e">
        <f t="shared" si="125"/>
        <v>#DIV/0!</v>
      </c>
      <c r="N70" s="1" t="e">
        <f t="shared" si="125"/>
        <v>#DIV/0!</v>
      </c>
      <c r="O70" s="1" t="e">
        <f t="shared" si="125"/>
        <v>#DIV/0!</v>
      </c>
      <c r="P70" s="1" t="e">
        <f t="shared" si="125"/>
        <v>#DIV/0!</v>
      </c>
      <c r="Q70" s="1" t="e">
        <f t="shared" si="125"/>
        <v>#DIV/0!</v>
      </c>
      <c r="R70" s="1">
        <f t="shared" si="125"/>
        <v>0</v>
      </c>
      <c r="S70" s="1">
        <f t="shared" si="125"/>
        <v>0</v>
      </c>
      <c r="T70" s="1">
        <f t="shared" si="125"/>
        <v>0</v>
      </c>
      <c r="U70" s="1">
        <f t="shared" si="125"/>
        <v>0</v>
      </c>
      <c r="V70" s="1">
        <f>V69/V23</f>
        <v>10.326342790096973</v>
      </c>
      <c r="W70" s="1">
        <f>W69/W23</f>
        <v>9.9381740323846604</v>
      </c>
      <c r="X70" s="1">
        <f t="shared" ref="X70:Y70" si="126">X69/X23</f>
        <v>9.7779065041031146</v>
      </c>
      <c r="Y70" s="1">
        <f t="shared" si="126"/>
        <v>9.929101045342879</v>
      </c>
      <c r="Z70" s="1">
        <f t="shared" ref="Z70" si="127">Z69/Z23</f>
        <v>10.636540359631708</v>
      </c>
      <c r="AH70" s="1">
        <f t="shared" ref="AH70:AI70" si="128">AH69/AH23</f>
        <v>-5.4081909238584934E-3</v>
      </c>
      <c r="AI70" s="1">
        <f t="shared" si="128"/>
        <v>10.326156925219998</v>
      </c>
      <c r="AJ70" s="1">
        <f t="shared" ref="AJ70" si="129">AJ69/AJ23</f>
        <v>11.45404695368086</v>
      </c>
    </row>
    <row r="71" spans="2:37" x14ac:dyDescent="0.2">
      <c r="Z71" s="1"/>
      <c r="AJ71" s="1"/>
    </row>
    <row r="72" spans="2:37" s="38" customFormat="1" x14ac:dyDescent="0.2">
      <c r="B72" s="38" t="s">
        <v>5</v>
      </c>
      <c r="C72" s="34">
        <f t="shared" ref="C72:V72" si="130">C40+C41</f>
        <v>0</v>
      </c>
      <c r="D72" s="34">
        <f t="shared" si="130"/>
        <v>0</v>
      </c>
      <c r="E72" s="34">
        <f t="shared" si="130"/>
        <v>0</v>
      </c>
      <c r="F72" s="34">
        <f t="shared" si="130"/>
        <v>0</v>
      </c>
      <c r="G72" s="34">
        <f t="shared" si="130"/>
        <v>0</v>
      </c>
      <c r="H72" s="34">
        <f t="shared" si="130"/>
        <v>0</v>
      </c>
      <c r="I72" s="34">
        <f t="shared" si="130"/>
        <v>0</v>
      </c>
      <c r="J72" s="34">
        <f t="shared" si="130"/>
        <v>0</v>
      </c>
      <c r="K72" s="34">
        <f t="shared" si="130"/>
        <v>0</v>
      </c>
      <c r="L72" s="34">
        <f t="shared" si="130"/>
        <v>0</v>
      </c>
      <c r="M72" s="34">
        <f t="shared" si="130"/>
        <v>0</v>
      </c>
      <c r="N72" s="34">
        <f t="shared" si="130"/>
        <v>0</v>
      </c>
      <c r="O72" s="34">
        <f t="shared" si="130"/>
        <v>0</v>
      </c>
      <c r="P72" s="34">
        <f t="shared" si="130"/>
        <v>0</v>
      </c>
      <c r="Q72" s="34">
        <f t="shared" si="130"/>
        <v>0</v>
      </c>
      <c r="R72" s="34">
        <f t="shared" si="130"/>
        <v>0</v>
      </c>
      <c r="S72" s="34">
        <f t="shared" si="130"/>
        <v>0</v>
      </c>
      <c r="T72" s="34">
        <f t="shared" si="130"/>
        <v>0</v>
      </c>
      <c r="U72" s="34">
        <f t="shared" si="130"/>
        <v>0</v>
      </c>
      <c r="V72" s="34">
        <f t="shared" si="130"/>
        <v>1825.923</v>
      </c>
      <c r="W72" s="34">
        <f>W40+W41</f>
        <v>1828.6950000000002</v>
      </c>
      <c r="X72" s="34">
        <f>X40+X41</f>
        <v>1795.6120000000001</v>
      </c>
      <c r="Y72" s="34">
        <f t="shared" ref="Y72:Z72" si="131">Y40+Y41</f>
        <v>1787.5319999999999</v>
      </c>
      <c r="Z72" s="34">
        <f t="shared" si="131"/>
        <v>1836.63</v>
      </c>
      <c r="AA72" s="49"/>
      <c r="AH72" s="34">
        <f t="shared" ref="AH72:AI72" si="132">AH40+AH41</f>
        <v>957.74199999999996</v>
      </c>
      <c r="AI72" s="34">
        <f t="shared" si="132"/>
        <v>1825.923</v>
      </c>
      <c r="AJ72" s="34">
        <f t="shared" ref="AJ72" si="133">AJ40+AJ41</f>
        <v>1836.63</v>
      </c>
      <c r="AK72" s="49"/>
    </row>
    <row r="73" spans="2:37" s="38" customFormat="1" x14ac:dyDescent="0.2">
      <c r="B73" s="38" t="s">
        <v>6</v>
      </c>
      <c r="C73" s="34">
        <f t="shared" ref="C73:V73" si="134">C62</f>
        <v>0</v>
      </c>
      <c r="D73" s="34">
        <f t="shared" si="134"/>
        <v>0</v>
      </c>
      <c r="E73" s="34">
        <f t="shared" si="134"/>
        <v>0</v>
      </c>
      <c r="F73" s="34">
        <f t="shared" si="134"/>
        <v>0</v>
      </c>
      <c r="G73" s="34">
        <f t="shared" si="134"/>
        <v>0</v>
      </c>
      <c r="H73" s="34">
        <f t="shared" si="134"/>
        <v>0</v>
      </c>
      <c r="I73" s="34">
        <f t="shared" si="134"/>
        <v>0</v>
      </c>
      <c r="J73" s="34">
        <f t="shared" si="134"/>
        <v>0</v>
      </c>
      <c r="K73" s="34">
        <f t="shared" si="134"/>
        <v>0</v>
      </c>
      <c r="L73" s="34">
        <f t="shared" si="134"/>
        <v>0</v>
      </c>
      <c r="M73" s="34">
        <f t="shared" si="134"/>
        <v>0</v>
      </c>
      <c r="N73" s="34">
        <f t="shared" si="134"/>
        <v>0</v>
      </c>
      <c r="O73" s="34">
        <f t="shared" si="134"/>
        <v>0</v>
      </c>
      <c r="P73" s="34">
        <f t="shared" si="134"/>
        <v>0</v>
      </c>
      <c r="Q73" s="34">
        <f t="shared" si="134"/>
        <v>0</v>
      </c>
      <c r="R73" s="34">
        <f t="shared" si="134"/>
        <v>0</v>
      </c>
      <c r="S73" s="34">
        <f t="shared" si="134"/>
        <v>0</v>
      </c>
      <c r="T73" s="34">
        <f t="shared" si="134"/>
        <v>0</v>
      </c>
      <c r="U73" s="34">
        <f t="shared" si="134"/>
        <v>0</v>
      </c>
      <c r="V73" s="34">
        <f t="shared" si="134"/>
        <v>1136.521</v>
      </c>
      <c r="W73" s="34">
        <f>W62</f>
        <v>1137.3610000000001</v>
      </c>
      <c r="X73" s="34">
        <f>X62</f>
        <v>1138.2</v>
      </c>
      <c r="Y73" s="34">
        <f t="shared" ref="Y73:Z73" si="135">Y62</f>
        <v>1139.0419999999999</v>
      </c>
      <c r="Z73" s="34">
        <f t="shared" si="135"/>
        <v>1139.8800000000001</v>
      </c>
      <c r="AA73" s="49"/>
      <c r="AH73" s="34">
        <f t="shared" ref="AH73:AI73" si="136">AH62</f>
        <v>937.72900000000004</v>
      </c>
      <c r="AI73" s="34">
        <f t="shared" si="136"/>
        <v>1136.521</v>
      </c>
      <c r="AJ73" s="34">
        <f t="shared" ref="AJ73" si="137">AJ62</f>
        <v>1139.8800000000001</v>
      </c>
      <c r="AK73" s="49"/>
    </row>
    <row r="74" spans="2:37" x14ac:dyDescent="0.2">
      <c r="B74" s="1" t="s">
        <v>7</v>
      </c>
      <c r="C74" s="30">
        <f t="shared" ref="C74:V74" si="138">C72-C73</f>
        <v>0</v>
      </c>
      <c r="D74" s="30">
        <f t="shared" si="138"/>
        <v>0</v>
      </c>
      <c r="E74" s="30">
        <f t="shared" si="138"/>
        <v>0</v>
      </c>
      <c r="F74" s="30">
        <f t="shared" si="138"/>
        <v>0</v>
      </c>
      <c r="G74" s="30">
        <f t="shared" si="138"/>
        <v>0</v>
      </c>
      <c r="H74" s="30">
        <f t="shared" si="138"/>
        <v>0</v>
      </c>
      <c r="I74" s="30">
        <f t="shared" si="138"/>
        <v>0</v>
      </c>
      <c r="J74" s="30">
        <f t="shared" si="138"/>
        <v>0</v>
      </c>
      <c r="K74" s="30">
        <f t="shared" si="138"/>
        <v>0</v>
      </c>
      <c r="L74" s="30">
        <f t="shared" si="138"/>
        <v>0</v>
      </c>
      <c r="M74" s="30">
        <f t="shared" si="138"/>
        <v>0</v>
      </c>
      <c r="N74" s="30">
        <f t="shared" si="138"/>
        <v>0</v>
      </c>
      <c r="O74" s="30">
        <f t="shared" si="138"/>
        <v>0</v>
      </c>
      <c r="P74" s="30">
        <f t="shared" si="138"/>
        <v>0</v>
      </c>
      <c r="Q74" s="30">
        <f t="shared" si="138"/>
        <v>0</v>
      </c>
      <c r="R74" s="30">
        <f t="shared" si="138"/>
        <v>0</v>
      </c>
      <c r="S74" s="30">
        <f t="shared" si="138"/>
        <v>0</v>
      </c>
      <c r="T74" s="30">
        <f t="shared" si="138"/>
        <v>0</v>
      </c>
      <c r="U74" s="30">
        <f t="shared" si="138"/>
        <v>0</v>
      </c>
      <c r="V74" s="30">
        <f t="shared" si="138"/>
        <v>689.40200000000004</v>
      </c>
      <c r="W74" s="30">
        <f>W72-W73</f>
        <v>691.33400000000006</v>
      </c>
      <c r="X74" s="30">
        <f>X72-X73</f>
        <v>657.41200000000003</v>
      </c>
      <c r="Y74" s="30">
        <f t="shared" ref="Y74:Z74" si="139">Y72-Y73</f>
        <v>648.49</v>
      </c>
      <c r="Z74" s="30">
        <f t="shared" si="139"/>
        <v>696.75</v>
      </c>
      <c r="AH74" s="30">
        <f t="shared" ref="AH74" si="140">AH72-AH73</f>
        <v>20.01299999999992</v>
      </c>
      <c r="AI74" s="30">
        <f t="shared" ref="AI74:AJ74" si="141">AI72-AI73</f>
        <v>689.40200000000004</v>
      </c>
      <c r="AJ74" s="30">
        <f t="shared" si="141"/>
        <v>696.75</v>
      </c>
    </row>
    <row r="76" spans="2:37" x14ac:dyDescent="0.2">
      <c r="B76" s="1" t="s">
        <v>128</v>
      </c>
      <c r="V76" s="1">
        <v>405.11</v>
      </c>
      <c r="W76" s="30">
        <v>354.93</v>
      </c>
      <c r="X76" s="1">
        <v>312.47000000000003</v>
      </c>
      <c r="Y76" s="1">
        <v>183.03</v>
      </c>
      <c r="Z76" s="106">
        <v>214.21</v>
      </c>
      <c r="AH76" s="1">
        <v>369.61</v>
      </c>
      <c r="AI76" s="1">
        <f>V76</f>
        <v>405.11</v>
      </c>
      <c r="AJ76" s="99">
        <v>214.21</v>
      </c>
    </row>
    <row r="77" spans="2:37" x14ac:dyDescent="0.2">
      <c r="B77" s="1" t="s">
        <v>4</v>
      </c>
      <c r="V77" s="30">
        <f t="shared" ref="V77" si="142">V76*V23</f>
        <v>26155.129893520003</v>
      </c>
      <c r="W77" s="30">
        <f>W76*W23</f>
        <v>24031.06875486</v>
      </c>
      <c r="X77" s="30">
        <f t="shared" ref="X77:Y77" si="143">X76*X23</f>
        <v>21352.46996608</v>
      </c>
      <c r="Y77" s="30">
        <f t="shared" si="143"/>
        <v>12613.844283390001</v>
      </c>
      <c r="Z77" s="30">
        <f t="shared" ref="Z77" si="144">Z76*Z23</f>
        <v>14893.001231980001</v>
      </c>
      <c r="AH77" s="30">
        <f t="shared" ref="AH77" si="145">AH76*AH23</f>
        <v>21801.299484439998</v>
      </c>
      <c r="AI77" s="30">
        <f>AI76*AI23</f>
        <v>26155.129893520003</v>
      </c>
      <c r="AJ77" s="30">
        <f t="shared" ref="AJ77" si="146">AJ76*AJ23</f>
        <v>13830.047084720001</v>
      </c>
    </row>
    <row r="78" spans="2:37" x14ac:dyDescent="0.2">
      <c r="B78" s="1" t="s">
        <v>8</v>
      </c>
      <c r="V78" s="30">
        <f t="shared" ref="V78" si="147">V77-V74</f>
        <v>25465.727893520001</v>
      </c>
      <c r="W78" s="30">
        <f>W77-W74</f>
        <v>23339.734754860001</v>
      </c>
      <c r="X78" s="30">
        <f t="shared" ref="X78:Y78" si="148">X77-X74</f>
        <v>20695.057966079999</v>
      </c>
      <c r="Y78" s="30">
        <f t="shared" si="148"/>
        <v>11965.354283390001</v>
      </c>
      <c r="Z78" s="30">
        <f t="shared" ref="Z78" si="149">Z77-Z74</f>
        <v>14196.251231980001</v>
      </c>
      <c r="AH78" s="30">
        <f t="shared" ref="AH78" si="150">AH77-AH74</f>
        <v>21781.286484439999</v>
      </c>
      <c r="AI78" s="30">
        <f>AI77-AI74</f>
        <v>25465.727893520001</v>
      </c>
      <c r="AJ78" s="30">
        <f t="shared" ref="AJ78" si="151">AJ77-AJ74</f>
        <v>13133.297084720001</v>
      </c>
    </row>
    <row r="80" spans="2:37" x14ac:dyDescent="0.2">
      <c r="B80" s="1" t="s">
        <v>21</v>
      </c>
      <c r="V80" s="40">
        <f>V76/V70</f>
        <v>39.230733303614812</v>
      </c>
      <c r="W80" s="40">
        <f>W76/W70</f>
        <v>35.713804049256993</v>
      </c>
      <c r="X80" s="40">
        <f t="shared" ref="X80:Y80" si="152">X76/X70</f>
        <v>31.956738374301072</v>
      </c>
      <c r="Y80" s="40">
        <f t="shared" si="152"/>
        <v>18.433692956105823</v>
      </c>
      <c r="Z80" s="40">
        <f t="shared" ref="Z80" si="153">Z76/Z70</f>
        <v>20.139067098638552</v>
      </c>
      <c r="AH80" s="48" t="s">
        <v>142</v>
      </c>
      <c r="AI80" s="40">
        <f>AI76/AI70</f>
        <v>39.231439434218089</v>
      </c>
      <c r="AJ80" s="40">
        <f t="shared" ref="AJ80" si="154">AJ76/AJ70</f>
        <v>18.701686911730505</v>
      </c>
    </row>
    <row r="81" spans="2:37" x14ac:dyDescent="0.2">
      <c r="B81" s="1" t="s">
        <v>22</v>
      </c>
      <c r="V81" s="40">
        <f t="shared" ref="V81:X81" si="155">V77/SUM(S6:V6)</f>
        <v>29.93324409694867</v>
      </c>
      <c r="W81" s="40">
        <f t="shared" si="155"/>
        <v>24.582176571414543</v>
      </c>
      <c r="X81" s="40">
        <f t="shared" si="155"/>
        <v>19.725254796867233</v>
      </c>
      <c r="Y81" s="40">
        <f>Y77/SUM(V6:Y6)</f>
        <v>10.606803677858297</v>
      </c>
      <c r="Z81" s="40">
        <f t="shared" ref="Z81" si="156">Z77/SUM(W6:Z6)</f>
        <v>11.598549291283762</v>
      </c>
      <c r="AH81" s="40">
        <f t="shared" ref="AH81" si="157">AH77/AH6</f>
        <v>36.927571198956599</v>
      </c>
      <c r="AI81" s="40">
        <f>AI77/AI6</f>
        <v>29.93324409694867</v>
      </c>
      <c r="AJ81" s="40">
        <f t="shared" ref="AJ81" si="158">AJ77/AJ6</f>
        <v>10.77072917099156</v>
      </c>
    </row>
    <row r="82" spans="2:37" x14ac:dyDescent="0.2">
      <c r="B82" s="1" t="s">
        <v>23</v>
      </c>
      <c r="V82" s="40">
        <f t="shared" ref="V82:X82" si="159">V78/SUM(S6:V6)</f>
        <v>29.144257828062376</v>
      </c>
      <c r="W82" s="40">
        <f t="shared" si="159"/>
        <v>23.874988113373725</v>
      </c>
      <c r="X82" s="40">
        <f t="shared" si="159"/>
        <v>19.117942423773247</v>
      </c>
      <c r="Y82" s="40">
        <f>Y78/SUM(V6:Y6)</f>
        <v>10.061497586985441</v>
      </c>
      <c r="Z82" s="40">
        <f t="shared" ref="Z82" si="160">Z78/SUM(W6:Z6)</f>
        <v>11.055926008519984</v>
      </c>
      <c r="AH82" s="40">
        <f t="shared" ref="AH82" si="161">AH78/AH6</f>
        <v>36.893672692909654</v>
      </c>
      <c r="AI82" s="40">
        <f>AI78/AI6</f>
        <v>29.144257828062376</v>
      </c>
      <c r="AJ82" s="40">
        <f t="shared" ref="AJ82" si="162">AJ78/AJ6</f>
        <v>10.228105888227782</v>
      </c>
    </row>
    <row r="83" spans="2:37" x14ac:dyDescent="0.2">
      <c r="B83" s="1" t="s">
        <v>20</v>
      </c>
      <c r="V83" s="40">
        <f t="shared" ref="V83" si="163">V76/SUM(S22:V22)</f>
        <v>-84.508678490299772</v>
      </c>
      <c r="W83" s="40">
        <f t="shared" ref="W83:X83" si="164">W76/SUM(T22:W22)</f>
        <v>-72.546524492411535</v>
      </c>
      <c r="X83" s="40">
        <f t="shared" si="164"/>
        <v>-57.695906234315359</v>
      </c>
      <c r="Y83" s="40">
        <f>Y76/SUM(V22:Y22)</f>
        <v>-33.274743486600045</v>
      </c>
      <c r="Z83" s="40">
        <f t="shared" ref="Z83" si="165">Z76/SUM(W22:Z22)</f>
        <v>-42.515647453596443</v>
      </c>
      <c r="AH83" s="40">
        <f t="shared" ref="AH83" si="166">AH76/AH22</f>
        <v>-81.669936332863827</v>
      </c>
      <c r="AI83" s="40">
        <f>AI76/AI22</f>
        <v>-85.233065551478504</v>
      </c>
      <c r="AJ83" s="40">
        <f t="shared" ref="AJ83" si="167">AJ76/AJ22</f>
        <v>-40.040900887439989</v>
      </c>
    </row>
    <row r="84" spans="2:37" x14ac:dyDescent="0.2">
      <c r="B84" s="1" t="s">
        <v>24</v>
      </c>
      <c r="V84" s="40"/>
      <c r="W84" s="40"/>
      <c r="X84" s="40"/>
      <c r="Y84" s="40"/>
    </row>
    <row r="85" spans="2:37" x14ac:dyDescent="0.2">
      <c r="B85" s="1" t="s">
        <v>129</v>
      </c>
    </row>
    <row r="87" spans="2:37" x14ac:dyDescent="0.2">
      <c r="B87" s="37" t="s">
        <v>152</v>
      </c>
    </row>
    <row r="89" spans="2:37" x14ac:dyDescent="0.2">
      <c r="B89" s="1" t="s">
        <v>153</v>
      </c>
    </row>
    <row r="91" spans="2:37" x14ac:dyDescent="0.2">
      <c r="B91" s="1" t="s">
        <v>154</v>
      </c>
    </row>
    <row r="93" spans="2:37" s="2" customFormat="1" x14ac:dyDescent="0.2">
      <c r="B93" s="2" t="s">
        <v>155</v>
      </c>
      <c r="Z93" s="107"/>
      <c r="AA93" s="120"/>
      <c r="AJ93" s="110"/>
      <c r="AK93" s="53"/>
    </row>
  </sheetData>
  <hyperlinks>
    <hyperlink ref="W1" r:id="rId1" location="i38c3139dc7914f5e8533d7dcbc3a2a96_13" xr:uid="{E49C4A64-2AFD-4765-8FED-15375274F6C1}"/>
    <hyperlink ref="X1" r:id="rId2" xr:uid="{4E7150A9-F871-4F8F-9349-317999221213}"/>
    <hyperlink ref="Y1" r:id="rId3" xr:uid="{ECCBBB48-7DF4-4D89-B9C2-0F98891117F1}"/>
    <hyperlink ref="AI1" r:id="rId4" xr:uid="{AD1CDE78-BFA1-4502-94FA-12E996AA6832}"/>
    <hyperlink ref="Z1" r:id="rId5" xr:uid="{CC9DD64C-8C77-4F71-87BE-EC0B8CEA8B16}"/>
  </hyperlinks>
  <pageMargins left="0.7" right="0.7" top="0.75" bottom="0.75" header="0.3" footer="0.3"/>
  <pageSetup paperSize="256" orientation="portrait" horizontalDpi="203" verticalDpi="203" r:id="rId6"/>
  <ignoredErrors>
    <ignoredError sqref="AG4 AG5" formulaRange="1"/>
    <ignoredError sqref="V6:V23 R6 R19 AJ10 AJ19:AJ21 AJ45:AJ64 AI45" formula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62A2-DC4F-4B78-BB55-6375346DFACC}">
  <dimension ref="A1:K93"/>
  <sheetViews>
    <sheetView workbookViewId="0">
      <selection activeCell="B46" sqref="B46"/>
    </sheetView>
  </sheetViews>
  <sheetFormatPr defaultRowHeight="12.75" x14ac:dyDescent="0.2"/>
  <cols>
    <col min="1" max="1" width="22.85546875" style="1" bestFit="1" customWidth="1"/>
    <col min="2" max="2" width="9.140625" style="1"/>
    <col min="3" max="3" width="9.140625" style="49"/>
    <col min="4" max="10" width="9.140625" style="1"/>
    <col min="11" max="11" width="9.140625" style="54"/>
    <col min="12" max="16384" width="9.140625" style="1"/>
  </cols>
  <sheetData>
    <row r="1" spans="1:11" x14ac:dyDescent="0.2">
      <c r="C1" s="51" t="s">
        <v>90</v>
      </c>
      <c r="D1" s="87" t="s">
        <v>90</v>
      </c>
      <c r="K1" s="58" t="s">
        <v>61</v>
      </c>
    </row>
    <row r="2" spans="1:11" x14ac:dyDescent="0.2">
      <c r="C2" s="50" t="s">
        <v>143</v>
      </c>
      <c r="D2" s="88">
        <v>44957</v>
      </c>
      <c r="K2" s="59" t="s">
        <v>143</v>
      </c>
    </row>
    <row r="3" spans="1:11" x14ac:dyDescent="0.2">
      <c r="C3" s="50"/>
      <c r="D3" s="89" t="s">
        <v>159</v>
      </c>
      <c r="K3" s="59"/>
    </row>
    <row r="4" spans="1:11" x14ac:dyDescent="0.2">
      <c r="A4" s="29" t="s">
        <v>80</v>
      </c>
      <c r="D4" s="90">
        <v>348.178</v>
      </c>
    </row>
    <row r="5" spans="1:11" x14ac:dyDescent="0.2">
      <c r="A5" s="29" t="s">
        <v>81</v>
      </c>
      <c r="D5" s="90">
        <v>13.134</v>
      </c>
    </row>
    <row r="6" spans="1:11" x14ac:dyDescent="0.2">
      <c r="A6" s="2" t="s">
        <v>76</v>
      </c>
      <c r="C6" s="52">
        <v>373.65552000000002</v>
      </c>
      <c r="D6" s="91">
        <v>361.31200000000001</v>
      </c>
      <c r="K6" s="52">
        <v>1296.3835199999999</v>
      </c>
    </row>
    <row r="7" spans="1:11" x14ac:dyDescent="0.2">
      <c r="A7" s="29" t="s">
        <v>78</v>
      </c>
      <c r="C7" s="53"/>
      <c r="D7" s="90">
        <v>71.429000000000002</v>
      </c>
    </row>
    <row r="8" spans="1:11" x14ac:dyDescent="0.2">
      <c r="A8" s="29" t="s">
        <v>79</v>
      </c>
      <c r="D8" s="90">
        <v>17.731000000000002</v>
      </c>
    </row>
    <row r="9" spans="1:11" x14ac:dyDescent="0.2">
      <c r="A9" s="1" t="s">
        <v>77</v>
      </c>
      <c r="C9" s="57">
        <v>104.62354560000001</v>
      </c>
      <c r="D9" s="92">
        <v>89.16</v>
      </c>
      <c r="K9" s="54">
        <v>364.76754560000001</v>
      </c>
    </row>
    <row r="10" spans="1:11" x14ac:dyDescent="0.2">
      <c r="A10" s="2" t="s">
        <v>82</v>
      </c>
      <c r="C10" s="52">
        <v>269.03197440000002</v>
      </c>
      <c r="D10" s="91">
        <v>272.15200000000004</v>
      </c>
      <c r="K10" s="52">
        <v>931.61597439999991</v>
      </c>
    </row>
    <row r="11" spans="1:11" x14ac:dyDescent="0.2">
      <c r="A11" s="30" t="s">
        <v>91</v>
      </c>
      <c r="C11" s="54">
        <v>198.03742560000003</v>
      </c>
      <c r="D11" s="92">
        <v>189.916</v>
      </c>
      <c r="K11" s="54">
        <v>707.32242559999997</v>
      </c>
    </row>
    <row r="12" spans="1:11" x14ac:dyDescent="0.2">
      <c r="A12" s="30" t="s">
        <v>92</v>
      </c>
      <c r="C12" s="54">
        <v>115.83321120000001</v>
      </c>
      <c r="D12" s="92">
        <v>110.89100000000001</v>
      </c>
      <c r="K12" s="54">
        <v>426.63421119999998</v>
      </c>
    </row>
    <row r="13" spans="1:11" x14ac:dyDescent="0.2">
      <c r="A13" s="30" t="s">
        <v>93</v>
      </c>
      <c r="C13" s="54">
        <v>44.838662400000004</v>
      </c>
      <c r="D13" s="92">
        <v>44.293999999999997</v>
      </c>
      <c r="K13" s="54">
        <v>161.04266239999998</v>
      </c>
    </row>
    <row r="14" spans="1:11" x14ac:dyDescent="0.2">
      <c r="A14" s="30" t="s">
        <v>94</v>
      </c>
      <c r="C14" s="54">
        <v>358.70929920000003</v>
      </c>
      <c r="D14" s="92">
        <v>345.101</v>
      </c>
      <c r="K14" s="54">
        <v>1294.9992992</v>
      </c>
    </row>
    <row r="15" spans="1:11" x14ac:dyDescent="0.2">
      <c r="A15" s="31" t="s">
        <v>95</v>
      </c>
      <c r="C15" s="52">
        <v>-89.677324800000008</v>
      </c>
      <c r="D15" s="91">
        <v>-72.948999999999955</v>
      </c>
      <c r="K15" s="52">
        <v>-363.38332480000008</v>
      </c>
    </row>
    <row r="16" spans="1:11" x14ac:dyDescent="0.2">
      <c r="A16" s="30" t="s">
        <v>96</v>
      </c>
      <c r="C16" s="54">
        <v>2.407</v>
      </c>
      <c r="D16" s="92">
        <v>0</v>
      </c>
      <c r="K16" s="54">
        <v>11.643000000000001</v>
      </c>
    </row>
    <row r="17" spans="1:11" x14ac:dyDescent="0.2">
      <c r="A17" s="30" t="s">
        <v>97</v>
      </c>
      <c r="C17" s="54">
        <v>3.7694999999999999</v>
      </c>
      <c r="D17" s="92">
        <v>0</v>
      </c>
      <c r="K17" s="54">
        <v>11.148499999999999</v>
      </c>
    </row>
    <row r="18" spans="1:11" x14ac:dyDescent="0.2">
      <c r="A18" s="30" t="s">
        <v>98</v>
      </c>
      <c r="C18" s="54">
        <v>-0.51774999999999993</v>
      </c>
      <c r="D18" s="92">
        <v>11.465</v>
      </c>
      <c r="K18" s="54">
        <v>-0.43874999999999997</v>
      </c>
    </row>
    <row r="19" spans="1:11" x14ac:dyDescent="0.2">
      <c r="A19" s="30" t="s">
        <v>99</v>
      </c>
      <c r="C19" s="54">
        <v>-91.557574800000012</v>
      </c>
      <c r="D19" s="92">
        <v>-61.483999999999952</v>
      </c>
      <c r="K19" s="54">
        <v>-363.32757480000009</v>
      </c>
    </row>
    <row r="20" spans="1:11" x14ac:dyDescent="0.2">
      <c r="A20" s="30" t="s">
        <v>100</v>
      </c>
      <c r="C20" s="54">
        <v>4.5778787400000009</v>
      </c>
      <c r="D20" s="92">
        <v>2.9140000000000001</v>
      </c>
      <c r="K20" s="54">
        <v>13.807878740000001</v>
      </c>
    </row>
    <row r="21" spans="1:11" x14ac:dyDescent="0.2">
      <c r="A21" s="31" t="s">
        <v>101</v>
      </c>
      <c r="C21" s="52">
        <v>-96.135453540000015</v>
      </c>
      <c r="D21" s="91">
        <v>-64.397999999999954</v>
      </c>
      <c r="K21" s="52">
        <v>-377.13545354000007</v>
      </c>
    </row>
    <row r="22" spans="1:11" x14ac:dyDescent="0.2">
      <c r="A22" s="36" t="s">
        <v>102</v>
      </c>
      <c r="C22" s="55">
        <v>-1.3949492055008406</v>
      </c>
      <c r="D22" s="93"/>
      <c r="K22" s="55">
        <v>-5.4723286977881589</v>
      </c>
    </row>
    <row r="23" spans="1:11" x14ac:dyDescent="0.2">
      <c r="A23" s="30" t="s">
        <v>3</v>
      </c>
      <c r="C23" s="54">
        <v>68.916813000000005</v>
      </c>
      <c r="D23" s="92">
        <v>69.525238000000002</v>
      </c>
      <c r="K23" s="54">
        <v>68.916813000000005</v>
      </c>
    </row>
    <row r="24" spans="1:11" x14ac:dyDescent="0.2">
      <c r="A24" s="30"/>
      <c r="C24" s="54"/>
      <c r="D24" s="92"/>
    </row>
    <row r="25" spans="1:11" x14ac:dyDescent="0.2">
      <c r="D25" s="94"/>
    </row>
    <row r="26" spans="1:11" x14ac:dyDescent="0.2">
      <c r="A26" s="2" t="s">
        <v>83</v>
      </c>
      <c r="C26" s="60">
        <v>0.40211607015542561</v>
      </c>
      <c r="D26" s="95">
        <v>0.2657761335729576</v>
      </c>
      <c r="K26" s="60">
        <v>0.48364640150518068</v>
      </c>
    </row>
    <row r="27" spans="1:11" x14ac:dyDescent="0.2">
      <c r="A27" s="1" t="s">
        <v>84</v>
      </c>
      <c r="C27" s="56">
        <v>0.12</v>
      </c>
      <c r="D27" s="96">
        <v>-3.3034491234064989E-2</v>
      </c>
    </row>
    <row r="28" spans="1:11" x14ac:dyDescent="0.2">
      <c r="D28" s="94"/>
    </row>
    <row r="29" spans="1:11" x14ac:dyDescent="0.2">
      <c r="A29" s="33" t="s">
        <v>85</v>
      </c>
      <c r="C29" s="56">
        <v>0.72</v>
      </c>
      <c r="D29" s="96">
        <v>0.75323266318306625</v>
      </c>
      <c r="K29" s="56">
        <v>0.71862682611084105</v>
      </c>
    </row>
    <row r="30" spans="1:11" x14ac:dyDescent="0.2">
      <c r="A30" s="33" t="s">
        <v>86</v>
      </c>
      <c r="C30" s="56">
        <v>-0.24000000000000002</v>
      </c>
      <c r="D30" s="96">
        <v>-0.20190029669648379</v>
      </c>
      <c r="K30" s="56">
        <v>-0.2803054182607938</v>
      </c>
    </row>
    <row r="31" spans="1:11" x14ac:dyDescent="0.2">
      <c r="A31" s="33" t="s">
        <v>87</v>
      </c>
      <c r="C31" s="56">
        <v>-0.2572836433407969</v>
      </c>
      <c r="D31" s="96">
        <v>-0.17823377025949858</v>
      </c>
      <c r="K31" s="56">
        <v>-0.29091348950501938</v>
      </c>
    </row>
    <row r="32" spans="1:11" x14ac:dyDescent="0.2">
      <c r="A32" s="33" t="s">
        <v>88</v>
      </c>
      <c r="C32" s="56">
        <v>-0.05</v>
      </c>
      <c r="D32" s="96">
        <v>-4.7394444083013507E-2</v>
      </c>
      <c r="K32" s="56">
        <v>-3.8003938312694226E-2</v>
      </c>
    </row>
    <row r="33" spans="3:11" x14ac:dyDescent="0.2">
      <c r="C33" s="56"/>
      <c r="K33" s="56"/>
    </row>
    <row r="34" spans="3:11" x14ac:dyDescent="0.2">
      <c r="C34" s="56"/>
      <c r="K34" s="56"/>
    </row>
    <row r="35" spans="3:11" x14ac:dyDescent="0.2">
      <c r="C35" s="73"/>
      <c r="K35" s="73"/>
    </row>
    <row r="40" spans="3:11" x14ac:dyDescent="0.2">
      <c r="C40" s="53"/>
      <c r="K40" s="52"/>
    </row>
    <row r="41" spans="3:11" x14ac:dyDescent="0.2">
      <c r="C41" s="53"/>
      <c r="K41" s="52"/>
    </row>
    <row r="62" spans="3:11" x14ac:dyDescent="0.2">
      <c r="C62" s="53"/>
      <c r="K62" s="52"/>
    </row>
    <row r="93" spans="3:11" x14ac:dyDescent="0.2">
      <c r="C93" s="53"/>
      <c r="K93" s="52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2022-12-06T21:27:23Z</dcterms:created>
  <dcterms:modified xsi:type="dcterms:W3CDTF">2023-03-09T19:26:43Z</dcterms:modified>
</cp:coreProperties>
</file>