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32656802-5BBD-4074-B7F8-872409F2CA63}" xr6:coauthVersionLast="36" xr6:coauthVersionMax="47" xr10:uidLastSave="{00000000-0000-0000-0000-000000000000}"/>
  <bookViews>
    <workbookView xWindow="-120" yWindow="-120" windowWidth="29040" windowHeight="15720" xr2:uid="{37C1F632-1354-44A5-BE18-53817A0497AE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M44" i="2" l="1"/>
  <c r="M42" i="2"/>
  <c r="C39" i="1"/>
  <c r="C38" i="1"/>
  <c r="C37" i="1"/>
  <c r="C36" i="1"/>
  <c r="C35" i="1"/>
  <c r="C10" i="1"/>
  <c r="C9" i="1"/>
  <c r="C7" i="1"/>
  <c r="D11" i="1"/>
  <c r="D10" i="1"/>
  <c r="D9" i="1"/>
  <c r="D7" i="1"/>
  <c r="D30" i="1"/>
  <c r="M98" i="2"/>
  <c r="M99" i="2" s="1"/>
  <c r="M100" i="2" s="1"/>
  <c r="M96" i="2"/>
  <c r="M94" i="2"/>
  <c r="M86" i="2"/>
  <c r="M83" i="2"/>
  <c r="M84" i="2" s="1"/>
  <c r="M88" i="2" s="1"/>
  <c r="M78" i="2"/>
  <c r="M80" i="2" s="1"/>
  <c r="M75" i="2"/>
  <c r="M76" i="2" s="1"/>
  <c r="M57" i="2"/>
  <c r="M60" i="2" s="1"/>
  <c r="M66" i="2"/>
  <c r="M70" i="2" s="1"/>
  <c r="M73" i="2" s="1"/>
  <c r="M54" i="2"/>
  <c r="M34" i="2"/>
  <c r="M33" i="2"/>
  <c r="M31" i="2"/>
  <c r="M30" i="2"/>
  <c r="M29" i="2"/>
  <c r="M28" i="2"/>
  <c r="M13" i="2"/>
  <c r="M12" i="2"/>
  <c r="M7" i="2"/>
  <c r="M87" i="2" l="1"/>
  <c r="M61" i="2"/>
  <c r="U100" i="2" l="1"/>
  <c r="U99" i="2"/>
  <c r="U98" i="2"/>
  <c r="K100" i="2" l="1"/>
  <c r="J100" i="2"/>
  <c r="L100" i="2"/>
  <c r="K99" i="2"/>
  <c r="J99" i="2"/>
  <c r="I99" i="2"/>
  <c r="H99" i="2"/>
  <c r="G99" i="2"/>
  <c r="F99" i="2"/>
  <c r="L99" i="2"/>
  <c r="K98" i="2"/>
  <c r="J98" i="2"/>
  <c r="I98" i="2"/>
  <c r="H98" i="2"/>
  <c r="G98" i="2"/>
  <c r="F98" i="2"/>
  <c r="L98" i="2"/>
  <c r="F96" i="2"/>
  <c r="F95" i="2"/>
  <c r="F94" i="2"/>
  <c r="E96" i="2"/>
  <c r="E95" i="2"/>
  <c r="E94" i="2"/>
  <c r="E86" i="2"/>
  <c r="E83" i="2"/>
  <c r="E87" i="2" s="1"/>
  <c r="E75" i="2"/>
  <c r="E76" i="2" s="1"/>
  <c r="E73" i="2"/>
  <c r="E69" i="2"/>
  <c r="E65" i="2"/>
  <c r="E59" i="2"/>
  <c r="E57" i="2"/>
  <c r="E53" i="2"/>
  <c r="K88" i="2"/>
  <c r="J88" i="2"/>
  <c r="I88" i="2"/>
  <c r="H88" i="2"/>
  <c r="G88" i="2"/>
  <c r="K87" i="2"/>
  <c r="J87" i="2"/>
  <c r="I87" i="2"/>
  <c r="H87" i="2"/>
  <c r="G87" i="2"/>
  <c r="F87" i="2"/>
  <c r="L87" i="2"/>
  <c r="F75" i="2"/>
  <c r="F76" i="2" s="1"/>
  <c r="F86" i="2" s="1"/>
  <c r="K86" i="2"/>
  <c r="J86" i="2"/>
  <c r="I86" i="2"/>
  <c r="H86" i="2"/>
  <c r="F83" i="2"/>
  <c r="F84" i="2" s="1"/>
  <c r="F88" i="2" s="1"/>
  <c r="G83" i="2"/>
  <c r="G84" i="2" s="1"/>
  <c r="H83" i="2"/>
  <c r="H84" i="2" s="1"/>
  <c r="I83" i="2"/>
  <c r="I84" i="2" s="1"/>
  <c r="J83" i="2"/>
  <c r="J84" i="2" s="1"/>
  <c r="K83" i="2"/>
  <c r="K84" i="2" s="1"/>
  <c r="L83" i="2"/>
  <c r="J44" i="2"/>
  <c r="F43" i="2"/>
  <c r="J43" i="2"/>
  <c r="J75" i="2"/>
  <c r="J76" i="2" s="1"/>
  <c r="I75" i="2"/>
  <c r="I76" i="2" s="1"/>
  <c r="I73" i="2"/>
  <c r="I69" i="2"/>
  <c r="I65" i="2"/>
  <c r="I59" i="2"/>
  <c r="I57" i="2"/>
  <c r="I53" i="2"/>
  <c r="E84" i="2" l="1"/>
  <c r="E88" i="2" s="1"/>
  <c r="C27" i="1"/>
  <c r="T40" i="2"/>
  <c r="U40" i="2"/>
  <c r="T46" i="2"/>
  <c r="S46" i="2"/>
  <c r="R46" i="2"/>
  <c r="R44" i="2"/>
  <c r="S44" i="2"/>
  <c r="T44" i="2"/>
  <c r="U44" i="2"/>
  <c r="T42" i="2"/>
  <c r="S42" i="2"/>
  <c r="R42" i="2"/>
  <c r="T38" i="2"/>
  <c r="U38" i="2"/>
  <c r="J37" i="2"/>
  <c r="J38" i="2" s="1"/>
  <c r="F41" i="2"/>
  <c r="F23" i="2"/>
  <c r="F21" i="2"/>
  <c r="F20" i="2"/>
  <c r="F19" i="2"/>
  <c r="F26" i="2"/>
  <c r="F17" i="2"/>
  <c r="F16" i="2"/>
  <c r="F15" i="2"/>
  <c r="F14" i="2"/>
  <c r="F11" i="2"/>
  <c r="F9" i="2"/>
  <c r="F8" i="2"/>
  <c r="F5" i="2"/>
  <c r="F4" i="2"/>
  <c r="H69" i="2"/>
  <c r="H65" i="2"/>
  <c r="H59" i="2"/>
  <c r="H57" i="2"/>
  <c r="H53" i="2"/>
  <c r="D94" i="2"/>
  <c r="D10" i="2"/>
  <c r="D12" i="2" s="1"/>
  <c r="D6" i="2"/>
  <c r="D7" i="2" s="1"/>
  <c r="H44" i="2"/>
  <c r="H42" i="2"/>
  <c r="C10" i="2"/>
  <c r="C6" i="2"/>
  <c r="F6" i="2" s="1"/>
  <c r="C95" i="2"/>
  <c r="D95" i="2" s="1"/>
  <c r="D96" i="2" s="1"/>
  <c r="F69" i="2"/>
  <c r="F65" i="2"/>
  <c r="F59" i="2"/>
  <c r="F57" i="2"/>
  <c r="F53" i="2"/>
  <c r="G69" i="2"/>
  <c r="G65" i="2"/>
  <c r="G59" i="2"/>
  <c r="G57" i="2"/>
  <c r="G53" i="2"/>
  <c r="G42" i="2"/>
  <c r="G44" i="2"/>
  <c r="U46" i="2"/>
  <c r="J41" i="2"/>
  <c r="U42" i="2"/>
  <c r="I42" i="2"/>
  <c r="I44" i="2"/>
  <c r="K41" i="2"/>
  <c r="K42" i="2" s="1"/>
  <c r="L44" i="2"/>
  <c r="L42" i="2"/>
  <c r="E10" i="2"/>
  <c r="E12" i="2" s="1"/>
  <c r="E6" i="2"/>
  <c r="E7" i="2" s="1"/>
  <c r="J23" i="2"/>
  <c r="J21" i="2"/>
  <c r="J20" i="2"/>
  <c r="J19" i="2"/>
  <c r="J16" i="2"/>
  <c r="J15" i="2"/>
  <c r="J14" i="2"/>
  <c r="J26" i="2"/>
  <c r="J11" i="2"/>
  <c r="J9" i="2"/>
  <c r="J8" i="2"/>
  <c r="J5" i="2"/>
  <c r="J4" i="2"/>
  <c r="I10" i="2"/>
  <c r="I12" i="2" s="1"/>
  <c r="I6" i="2"/>
  <c r="I7" i="2" s="1"/>
  <c r="F10" i="2" l="1"/>
  <c r="F12" i="2" s="1"/>
  <c r="E34" i="2"/>
  <c r="C7" i="2"/>
  <c r="D34" i="2" s="1"/>
  <c r="F7" i="2"/>
  <c r="J42" i="2"/>
  <c r="C12" i="2"/>
  <c r="C13" i="2" s="1"/>
  <c r="F34" i="2"/>
  <c r="C96" i="2"/>
  <c r="D13" i="2"/>
  <c r="I33" i="2"/>
  <c r="J6" i="2"/>
  <c r="J10" i="2"/>
  <c r="J12" i="2" s="1"/>
  <c r="E13" i="2"/>
  <c r="I13" i="2"/>
  <c r="V23" i="2"/>
  <c r="V17" i="2"/>
  <c r="V16" i="2"/>
  <c r="V14" i="2"/>
  <c r="N26" i="2"/>
  <c r="V26" i="2" s="1"/>
  <c r="N21" i="2"/>
  <c r="N20" i="2"/>
  <c r="S83" i="2"/>
  <c r="T83" i="2"/>
  <c r="U83" i="2"/>
  <c r="U78" i="2"/>
  <c r="U80" i="2" s="1"/>
  <c r="T78" i="2"/>
  <c r="T80" i="2" s="1"/>
  <c r="T57" i="2"/>
  <c r="T60" i="2" s="1"/>
  <c r="U57" i="2"/>
  <c r="U60" i="2" s="1"/>
  <c r="U66" i="2"/>
  <c r="U70" i="2" s="1"/>
  <c r="U73" i="2" s="1"/>
  <c r="T66" i="2"/>
  <c r="T70" i="2" s="1"/>
  <c r="T73" i="2" s="1"/>
  <c r="S66" i="2"/>
  <c r="S70" i="2" s="1"/>
  <c r="R66" i="2"/>
  <c r="R70" i="2" s="1"/>
  <c r="S60" i="2"/>
  <c r="R60" i="2"/>
  <c r="U54" i="2"/>
  <c r="T54" i="2"/>
  <c r="S54" i="2"/>
  <c r="R54" i="2"/>
  <c r="F13" i="2" l="1"/>
  <c r="T84" i="2"/>
  <c r="D18" i="2"/>
  <c r="D28" i="2"/>
  <c r="F18" i="2"/>
  <c r="F28" i="2"/>
  <c r="C18" i="2"/>
  <c r="C28" i="2"/>
  <c r="R61" i="2"/>
  <c r="S61" i="2"/>
  <c r="U84" i="2"/>
  <c r="I18" i="2"/>
  <c r="I28" i="2"/>
  <c r="E18" i="2"/>
  <c r="E28" i="2"/>
  <c r="N19" i="2"/>
  <c r="V20" i="2"/>
  <c r="V21" i="2"/>
  <c r="T61" i="2"/>
  <c r="T75" i="2" s="1"/>
  <c r="T76" i="2" s="1"/>
  <c r="T86" i="2" s="1"/>
  <c r="U61" i="2"/>
  <c r="U75" i="2" s="1"/>
  <c r="U76" i="2" s="1"/>
  <c r="U86" i="2" s="1"/>
  <c r="U96" i="2"/>
  <c r="T96" i="2"/>
  <c r="S96" i="2"/>
  <c r="C28" i="1"/>
  <c r="S21" i="2"/>
  <c r="S12" i="2"/>
  <c r="S7" i="2"/>
  <c r="T12" i="2"/>
  <c r="T7" i="2"/>
  <c r="T88" i="2" s="1"/>
  <c r="U12" i="2"/>
  <c r="U7" i="2"/>
  <c r="J73" i="2"/>
  <c r="J57" i="2"/>
  <c r="J60" i="2" s="1"/>
  <c r="K66" i="2"/>
  <c r="J66" i="2"/>
  <c r="J70" i="2" s="1"/>
  <c r="I66" i="2"/>
  <c r="I70" i="2" s="1"/>
  <c r="H66" i="2"/>
  <c r="H70" i="2" s="1"/>
  <c r="H73" i="2" s="1"/>
  <c r="G66" i="2"/>
  <c r="G70" i="2" s="1"/>
  <c r="G73" i="2" s="1"/>
  <c r="F66" i="2"/>
  <c r="F70" i="2" s="1"/>
  <c r="F73" i="2" s="1"/>
  <c r="E66" i="2"/>
  <c r="E70" i="2" s="1"/>
  <c r="D66" i="2"/>
  <c r="D70" i="2" s="1"/>
  <c r="C66" i="2"/>
  <c r="C70" i="2" s="1"/>
  <c r="K57" i="2"/>
  <c r="K78" i="2"/>
  <c r="K80" i="2" s="1"/>
  <c r="J78" i="2"/>
  <c r="J80" i="2" s="1"/>
  <c r="I78" i="2"/>
  <c r="I80" i="2" s="1"/>
  <c r="H78" i="2"/>
  <c r="H80" i="2" s="1"/>
  <c r="G78" i="2"/>
  <c r="G80" i="2" s="1"/>
  <c r="F78" i="2"/>
  <c r="F80" i="2" s="1"/>
  <c r="E78" i="2"/>
  <c r="E80" i="2" s="1"/>
  <c r="D78" i="2"/>
  <c r="D80" i="2" s="1"/>
  <c r="C78" i="2"/>
  <c r="C80" i="2" s="1"/>
  <c r="K70" i="2"/>
  <c r="K73" i="2" s="1"/>
  <c r="K60" i="2"/>
  <c r="I60" i="2"/>
  <c r="H60" i="2"/>
  <c r="G60" i="2"/>
  <c r="F60" i="2"/>
  <c r="E60" i="2"/>
  <c r="D60" i="2"/>
  <c r="C60" i="2"/>
  <c r="K54" i="2"/>
  <c r="J54" i="2"/>
  <c r="I54" i="2"/>
  <c r="H54" i="2"/>
  <c r="G54" i="2"/>
  <c r="F54" i="2"/>
  <c r="E54" i="2"/>
  <c r="D54" i="2"/>
  <c r="C54" i="2"/>
  <c r="H95" i="2"/>
  <c r="H94" i="2"/>
  <c r="G96" i="2"/>
  <c r="L95" i="2"/>
  <c r="L94" i="2"/>
  <c r="E61" i="2" l="1"/>
  <c r="F22" i="2"/>
  <c r="F29" i="2"/>
  <c r="C22" i="2"/>
  <c r="C29" i="2"/>
  <c r="D22" i="2"/>
  <c r="D29" i="2"/>
  <c r="F61" i="2"/>
  <c r="J61" i="2"/>
  <c r="H96" i="2"/>
  <c r="I61" i="2"/>
  <c r="C61" i="2"/>
  <c r="T33" i="2"/>
  <c r="T87" i="2"/>
  <c r="I94" i="2"/>
  <c r="G61" i="2"/>
  <c r="G75" i="2" s="1"/>
  <c r="G76" i="2" s="1"/>
  <c r="G86" i="2" s="1"/>
  <c r="I22" i="2"/>
  <c r="I29" i="2"/>
  <c r="D61" i="2"/>
  <c r="U87" i="2"/>
  <c r="E22" i="2"/>
  <c r="E29" i="2"/>
  <c r="I95" i="2"/>
  <c r="J95" i="2" s="1"/>
  <c r="H61" i="2"/>
  <c r="H75" i="2" s="1"/>
  <c r="H76" i="2" s="1"/>
  <c r="U33" i="2"/>
  <c r="U88" i="2"/>
  <c r="V19" i="2"/>
  <c r="S13" i="2"/>
  <c r="T13" i="2"/>
  <c r="U13" i="2"/>
  <c r="K61" i="2"/>
  <c r="K75" i="2" s="1"/>
  <c r="K76" i="2" s="1"/>
  <c r="D24" i="2" l="1"/>
  <c r="D31" i="2"/>
  <c r="C24" i="2"/>
  <c r="C31" i="2"/>
  <c r="F31" i="2"/>
  <c r="F24" i="2"/>
  <c r="I96" i="2"/>
  <c r="E24" i="2"/>
  <c r="E31" i="2"/>
  <c r="I24" i="2"/>
  <c r="I31" i="2"/>
  <c r="S18" i="2"/>
  <c r="S28" i="2"/>
  <c r="J94" i="2"/>
  <c r="J96" i="2" s="1"/>
  <c r="T18" i="2"/>
  <c r="T28" i="2"/>
  <c r="U18" i="2"/>
  <c r="U28" i="2"/>
  <c r="F25" i="2" l="1"/>
  <c r="F30" i="2"/>
  <c r="C25" i="2"/>
  <c r="C30" i="2"/>
  <c r="D25" i="2"/>
  <c r="D30" i="2"/>
  <c r="S22" i="2"/>
  <c r="S29" i="2"/>
  <c r="I25" i="2"/>
  <c r="I30" i="2"/>
  <c r="E25" i="2"/>
  <c r="E30" i="2"/>
  <c r="T22" i="2"/>
  <c r="T29" i="2"/>
  <c r="U22" i="2"/>
  <c r="U29" i="2"/>
  <c r="S24" i="2" l="1"/>
  <c r="S31" i="2"/>
  <c r="T24" i="2"/>
  <c r="T31" i="2"/>
  <c r="U24" i="2"/>
  <c r="U31" i="2"/>
  <c r="K96" i="2"/>
  <c r="L78" i="2"/>
  <c r="L80" i="2" s="1"/>
  <c r="L84" i="2" s="1"/>
  <c r="L88" i="2" s="1"/>
  <c r="L57" i="2"/>
  <c r="L60" i="2" s="1"/>
  <c r="L66" i="2"/>
  <c r="L70" i="2" s="1"/>
  <c r="L73" i="2" s="1"/>
  <c r="L54" i="2"/>
  <c r="G12" i="2"/>
  <c r="G7" i="2"/>
  <c r="K12" i="2"/>
  <c r="K7" i="2"/>
  <c r="H12" i="2"/>
  <c r="H7" i="2"/>
  <c r="L12" i="2"/>
  <c r="L7" i="2"/>
  <c r="C8" i="1"/>
  <c r="H34" i="2" l="1"/>
  <c r="G33" i="2"/>
  <c r="G34" i="2"/>
  <c r="I34" i="2"/>
  <c r="H33" i="2"/>
  <c r="L61" i="2"/>
  <c r="L75" i="2" s="1"/>
  <c r="L76" i="2" s="1"/>
  <c r="L13" i="2"/>
  <c r="K13" i="2"/>
  <c r="K33" i="2"/>
  <c r="J7" i="2"/>
  <c r="L34" i="2"/>
  <c r="N7" i="2"/>
  <c r="S25" i="2"/>
  <c r="S30" i="2"/>
  <c r="L33" i="2"/>
  <c r="T25" i="2"/>
  <c r="T30" i="2"/>
  <c r="U25" i="2"/>
  <c r="U30" i="2"/>
  <c r="C11" i="1"/>
  <c r="G13" i="2"/>
  <c r="H13" i="2"/>
  <c r="L86" i="2" l="1"/>
  <c r="K34" i="2"/>
  <c r="J33" i="2"/>
  <c r="N13" i="2"/>
  <c r="N15" i="2"/>
  <c r="V15" i="2" s="1"/>
  <c r="K28" i="2"/>
  <c r="K18" i="2"/>
  <c r="H18" i="2"/>
  <c r="H28" i="2"/>
  <c r="V7" i="2"/>
  <c r="V33" i="2" s="1"/>
  <c r="G18" i="2"/>
  <c r="G28" i="2"/>
  <c r="M18" i="2"/>
  <c r="M22" i="2" s="1"/>
  <c r="M24" i="2" s="1"/>
  <c r="M25" i="2" s="1"/>
  <c r="J13" i="2"/>
  <c r="J34" i="2"/>
  <c r="L18" i="2"/>
  <c r="L28" i="2"/>
  <c r="C12" i="1"/>
  <c r="N18" i="2" l="1"/>
  <c r="N22" i="2" s="1"/>
  <c r="N24" i="2" s="1"/>
  <c r="N25" i="2" s="1"/>
  <c r="N12" i="2"/>
  <c r="V12" i="2" s="1"/>
  <c r="L22" i="2"/>
  <c r="L29" i="2"/>
  <c r="H22" i="2"/>
  <c r="H29" i="2"/>
  <c r="J28" i="2"/>
  <c r="J18" i="2"/>
  <c r="V13" i="2"/>
  <c r="V28" i="2" s="1"/>
  <c r="G22" i="2"/>
  <c r="G29" i="2"/>
  <c r="K29" i="2"/>
  <c r="K22" i="2"/>
  <c r="V18" i="2" l="1"/>
  <c r="V22" i="2" s="1"/>
  <c r="H24" i="2"/>
  <c r="H31" i="2"/>
  <c r="J22" i="2"/>
  <c r="J29" i="2"/>
  <c r="K31" i="2"/>
  <c r="K24" i="2"/>
  <c r="L31" i="2"/>
  <c r="L24" i="2"/>
  <c r="G24" i="2"/>
  <c r="G31" i="2"/>
  <c r="L96" i="2"/>
  <c r="V29" i="2" l="1"/>
  <c r="L25" i="2"/>
  <c r="L30" i="2"/>
  <c r="K30" i="2"/>
  <c r="K25" i="2"/>
  <c r="V31" i="2"/>
  <c r="V24" i="2"/>
  <c r="G30" i="2"/>
  <c r="G25" i="2"/>
  <c r="J24" i="2"/>
  <c r="J31" i="2"/>
  <c r="H30" i="2"/>
  <c r="H25" i="2"/>
  <c r="V30" i="2" l="1"/>
  <c r="V25" i="2"/>
  <c r="J30" i="2"/>
  <c r="J25" i="2"/>
</calcChain>
</file>

<file path=xl/sharedStrings.xml><?xml version="1.0" encoding="utf-8"?>
<sst xmlns="http://schemas.openxmlformats.org/spreadsheetml/2006/main" count="174" uniqueCount="145">
  <si>
    <t>$TOST</t>
  </si>
  <si>
    <t>Toast, inc.</t>
  </si>
  <si>
    <t>Stock Snapshot</t>
  </si>
  <si>
    <t>Price</t>
  </si>
  <si>
    <t>Shares</t>
  </si>
  <si>
    <t>MC</t>
  </si>
  <si>
    <t>Cash</t>
  </si>
  <si>
    <t>Debt</t>
  </si>
  <si>
    <t>Net Cash</t>
  </si>
  <si>
    <t>EV</t>
  </si>
  <si>
    <t>Management</t>
  </si>
  <si>
    <t>CEO</t>
  </si>
  <si>
    <t>CFO</t>
  </si>
  <si>
    <t>Profile</t>
  </si>
  <si>
    <t>HQ</t>
  </si>
  <si>
    <t>Founded</t>
  </si>
  <si>
    <t>IPO</t>
  </si>
  <si>
    <t>Update</t>
  </si>
  <si>
    <t>IR</t>
  </si>
  <si>
    <t>Valuation Metrics</t>
  </si>
  <si>
    <t>P/B</t>
  </si>
  <si>
    <t>P/S</t>
  </si>
  <si>
    <t>EV/S</t>
  </si>
  <si>
    <t>P/E</t>
  </si>
  <si>
    <t>EV/E</t>
  </si>
  <si>
    <t>Key Events</t>
  </si>
  <si>
    <t>Link</t>
  </si>
  <si>
    <t>Restaurant POS &amp; Management Software</t>
  </si>
  <si>
    <t>Boston, MA</t>
  </si>
  <si>
    <t>Opti Systems Inc changes it's corporation name to Toast Inc.</t>
  </si>
  <si>
    <t>Co-Found</t>
  </si>
  <si>
    <t>Aman Narang</t>
  </si>
  <si>
    <t>Pres</t>
  </si>
  <si>
    <t>Stephen Fredette</t>
  </si>
  <si>
    <t>Elena Gomez</t>
  </si>
  <si>
    <t>CTO</t>
  </si>
  <si>
    <t>Deborah Chrapaty</t>
  </si>
  <si>
    <t>Q124</t>
  </si>
  <si>
    <t>Q224</t>
  </si>
  <si>
    <t>Q324</t>
  </si>
  <si>
    <t>Q424</t>
  </si>
  <si>
    <t>Q123</t>
  </si>
  <si>
    <t>Q223</t>
  </si>
  <si>
    <t>Q323</t>
  </si>
  <si>
    <t>Q423</t>
  </si>
  <si>
    <t>Subscription</t>
  </si>
  <si>
    <t>Financial Tech</t>
  </si>
  <si>
    <t>Hardware</t>
  </si>
  <si>
    <t>Revenue</t>
  </si>
  <si>
    <t>COGS</t>
  </si>
  <si>
    <t>Amortisation</t>
  </si>
  <si>
    <t>Gross Profit</t>
  </si>
  <si>
    <t>S&amp;M</t>
  </si>
  <si>
    <t>R&amp;D</t>
  </si>
  <si>
    <t>G&amp;A</t>
  </si>
  <si>
    <t>Restructring</t>
  </si>
  <si>
    <t>Operating Income</t>
  </si>
  <si>
    <t>Interest Income</t>
  </si>
  <si>
    <t>Change in Warrant</t>
  </si>
  <si>
    <t>Other Income</t>
  </si>
  <si>
    <t>Pretax Income</t>
  </si>
  <si>
    <t>Taxes</t>
  </si>
  <si>
    <t>Net Income</t>
  </si>
  <si>
    <t>EPS</t>
  </si>
  <si>
    <t>Gross Margin</t>
  </si>
  <si>
    <t>Operating Margin</t>
  </si>
  <si>
    <t>Net Margin</t>
  </si>
  <si>
    <t>Tax Rate</t>
  </si>
  <si>
    <t>Revenue Y/Y</t>
  </si>
  <si>
    <t>Revenue Q/Q</t>
  </si>
  <si>
    <t>Balance Sheet</t>
  </si>
  <si>
    <t>Marketable Securities</t>
  </si>
  <si>
    <t>A/R</t>
  </si>
  <si>
    <t>Inventories</t>
  </si>
  <si>
    <t>OCA</t>
  </si>
  <si>
    <t>TCA</t>
  </si>
  <si>
    <t>PP&amp;E</t>
  </si>
  <si>
    <t>ROU</t>
  </si>
  <si>
    <t>Intangibles+Goodwill</t>
  </si>
  <si>
    <t>Restricted Cash</t>
  </si>
  <si>
    <t>Other NCA</t>
  </si>
  <si>
    <t>TNCA</t>
  </si>
  <si>
    <t>Assets</t>
  </si>
  <si>
    <t>A/P</t>
  </si>
  <si>
    <t>Deferred Revenue</t>
  </si>
  <si>
    <t>Accrued Expenses</t>
  </si>
  <si>
    <t>TCL</t>
  </si>
  <si>
    <t>Warrants</t>
  </si>
  <si>
    <t>Operating Lease</t>
  </si>
  <si>
    <t>Other LTL</t>
  </si>
  <si>
    <t>Liabilities</t>
  </si>
  <si>
    <t>S/E</t>
  </si>
  <si>
    <t>S/E+L</t>
  </si>
  <si>
    <t>Book Value</t>
  </si>
  <si>
    <t>Book Value per Share</t>
  </si>
  <si>
    <t>Share Price</t>
  </si>
  <si>
    <t>FY20</t>
  </si>
  <si>
    <t>FY21</t>
  </si>
  <si>
    <t>FY22</t>
  </si>
  <si>
    <t>FY23</t>
  </si>
  <si>
    <t>FY24</t>
  </si>
  <si>
    <t>FY25</t>
  </si>
  <si>
    <t>FY26</t>
  </si>
  <si>
    <t>FY27</t>
  </si>
  <si>
    <t>FY28</t>
  </si>
  <si>
    <t>FY29</t>
  </si>
  <si>
    <t>FY30</t>
  </si>
  <si>
    <t>FY31</t>
  </si>
  <si>
    <t>FY32</t>
  </si>
  <si>
    <t>Q122</t>
  </si>
  <si>
    <t>Q222</t>
  </si>
  <si>
    <t>Q322</t>
  </si>
  <si>
    <t>Q422</t>
  </si>
  <si>
    <t>Cashflow</t>
  </si>
  <si>
    <t>CFFO</t>
  </si>
  <si>
    <t>CapEx</t>
  </si>
  <si>
    <t>-</t>
  </si>
  <si>
    <t>Non-Finance Metrics</t>
  </si>
  <si>
    <t>Employees</t>
  </si>
  <si>
    <t>Emply.</t>
  </si>
  <si>
    <t>Toast announces restructuring plan involving 550~ job cuts</t>
  </si>
  <si>
    <t>Toast laid off 50% of it's workforce in response to the pandemic lockdowns</t>
  </si>
  <si>
    <t>Products</t>
  </si>
  <si>
    <t>Android based Restaurant Management System</t>
  </si>
  <si>
    <t>Flex (Touchscreen Terminal)</t>
  </si>
  <si>
    <t>Tap (Three-in-one Payment Device)</t>
  </si>
  <si>
    <t>Reciept Printer</t>
  </si>
  <si>
    <t>Toast Hub (Hardware Hub)</t>
  </si>
  <si>
    <t>Toast introduces reservation system directly competing with OpenTable (BKNG) &amp; Resy</t>
  </si>
  <si>
    <t>Restaraunts</t>
  </si>
  <si>
    <t>$TOST undergoes it's IPO and lists on the NYSE. $40 @ $20bn valuation, one of largest of 21</t>
  </si>
  <si>
    <t>Gross Payment Volume</t>
  </si>
  <si>
    <t>Anualized Recurring Run-Rate</t>
  </si>
  <si>
    <t>GPV Y/Y</t>
  </si>
  <si>
    <t>ARR Y/Y</t>
  </si>
  <si>
    <t>Net Retention Rate</t>
  </si>
  <si>
    <t>NRR Y/Y</t>
  </si>
  <si>
    <t>Emply. Y/Y</t>
  </si>
  <si>
    <t>Restaraunts Y/Y</t>
  </si>
  <si>
    <t>FY19</t>
  </si>
  <si>
    <t>FCF</t>
  </si>
  <si>
    <t>FCF TTM</t>
  </si>
  <si>
    <t>FCF per Share</t>
  </si>
  <si>
    <t>Price / FCF</t>
  </si>
  <si>
    <t>P/FCF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</si>
</sst>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\x"/>
  </numFmts>
  <fonts count="14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b/>
      <u/>
      <sz val="10"/>
      <color theme="1"/>
      <name val="Arial"/>
      <family val="2"/>
    </font>
    <font>
      <sz val="10"/>
      <color theme="1" tint="0.499984740745262"/>
      <name val="Arial"/>
      <family val="2"/>
    </font>
    <font>
      <sz val="8"/>
      <color theme="1" tint="0.499984740745262"/>
      <name val="Arial"/>
      <family val="2"/>
    </font>
    <font>
      <b/>
      <i/>
      <sz val="10"/>
      <color theme="1"/>
      <name val="Arial"/>
      <family val="2"/>
    </font>
    <font>
      <i/>
      <sz val="8"/>
      <color theme="1" tint="0.499984740745262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u/>
      <sz val="10"/>
      <color theme="10"/>
      <name val="Aria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2" fillId="2" borderId="4" xfId="0" applyFont="1" applyFill="1" applyBorder="1"/>
    <xf numFmtId="0" fontId="2" fillId="2" borderId="6" xfId="0" applyFont="1" applyFill="1" applyBorder="1"/>
    <xf numFmtId="0" fontId="2" fillId="4" borderId="4" xfId="0" applyFont="1" applyFill="1" applyBorder="1" applyAlignment="1">
      <alignment horizontal="center"/>
    </xf>
    <xf numFmtId="0" fontId="2" fillId="4" borderId="6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1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8" xfId="0" applyFont="1" applyBorder="1" applyAlignment="1">
      <alignment horizontal="right"/>
    </xf>
    <xf numFmtId="0" fontId="1" fillId="4" borderId="5" xfId="0" applyFont="1" applyFill="1" applyBorder="1"/>
    <xf numFmtId="0" fontId="1" fillId="4" borderId="7" xfId="0" applyFont="1" applyFill="1" applyBorder="1"/>
    <xf numFmtId="0" fontId="1" fillId="4" borderId="8" xfId="0" applyFont="1" applyFill="1" applyBorder="1"/>
    <xf numFmtId="17" fontId="2" fillId="2" borderId="6" xfId="0" applyNumberFormat="1" applyFont="1" applyFill="1" applyBorder="1" applyAlignment="1">
      <alignment horizontal="center"/>
    </xf>
    <xf numFmtId="0" fontId="4" fillId="0" borderId="0" xfId="1" applyFont="1" applyAlignment="1">
      <alignment horizontal="right"/>
    </xf>
    <xf numFmtId="3" fontId="1" fillId="0" borderId="0" xfId="0" applyNumberFormat="1" applyFont="1"/>
    <xf numFmtId="3" fontId="1" fillId="0" borderId="7" xfId="0" applyNumberFormat="1" applyFont="1" applyBorder="1"/>
    <xf numFmtId="0" fontId="5" fillId="0" borderId="0" xfId="0" applyFont="1"/>
    <xf numFmtId="4" fontId="1" fillId="0" borderId="0" xfId="0" applyNumberFormat="1" applyFont="1"/>
    <xf numFmtId="9" fontId="1" fillId="0" borderId="0" xfId="0" applyNumberFormat="1" applyFont="1"/>
    <xf numFmtId="9" fontId="2" fillId="0" borderId="0" xfId="0" applyNumberFormat="1" applyFont="1"/>
    <xf numFmtId="0" fontId="6" fillId="0" borderId="0" xfId="0" applyFont="1"/>
    <xf numFmtId="3" fontId="2" fillId="0" borderId="0" xfId="0" applyNumberFormat="1" applyFont="1"/>
    <xf numFmtId="0" fontId="1" fillId="4" borderId="0" xfId="0" applyFont="1" applyFill="1" applyAlignment="1">
      <alignment horizontal="center"/>
    </xf>
    <xf numFmtId="17" fontId="1" fillId="4" borderId="5" xfId="0" applyNumberFormat="1" applyFont="1" applyFill="1" applyBorder="1" applyAlignment="1">
      <alignment horizontal="center"/>
    </xf>
    <xf numFmtId="3" fontId="5" fillId="0" borderId="0" xfId="0" applyNumberFormat="1" applyFont="1" applyAlignment="1">
      <alignment horizontal="left" indent="1"/>
    </xf>
    <xf numFmtId="3" fontId="5" fillId="0" borderId="0" xfId="0" applyNumberFormat="1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4" fontId="8" fillId="0" borderId="0" xfId="0" applyNumberFormat="1" applyFont="1" applyAlignment="1">
      <alignment horizontal="right"/>
    </xf>
    <xf numFmtId="16" fontId="8" fillId="0" borderId="0" xfId="0" applyNumberFormat="1" applyFont="1" applyAlignment="1">
      <alignment horizontal="right"/>
    </xf>
    <xf numFmtId="164" fontId="1" fillId="0" borderId="0" xfId="0" applyNumberFormat="1" applyFont="1"/>
    <xf numFmtId="17" fontId="2" fillId="2" borderId="4" xfId="0" applyNumberFormat="1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16" fontId="10" fillId="0" borderId="0" xfId="0" applyNumberFormat="1" applyFont="1" applyAlignment="1">
      <alignment horizontal="right"/>
    </xf>
    <xf numFmtId="3" fontId="9" fillId="0" borderId="0" xfId="0" applyNumberFormat="1" applyFont="1"/>
    <xf numFmtId="4" fontId="5" fillId="0" borderId="0" xfId="0" applyNumberFormat="1" applyFont="1"/>
    <xf numFmtId="9" fontId="5" fillId="0" borderId="0" xfId="0" applyNumberFormat="1" applyFont="1"/>
    <xf numFmtId="9" fontId="9" fillId="0" borderId="0" xfId="0" applyNumberFormat="1" applyFont="1"/>
    <xf numFmtId="164" fontId="5" fillId="0" borderId="0" xfId="0" applyNumberFormat="1" applyFont="1"/>
    <xf numFmtId="3" fontId="1" fillId="5" borderId="0" xfId="0" applyNumberFormat="1" applyFont="1" applyFill="1"/>
    <xf numFmtId="3" fontId="5" fillId="5" borderId="0" xfId="0" applyNumberFormat="1" applyFont="1" applyFill="1"/>
    <xf numFmtId="0" fontId="1" fillId="4" borderId="0" xfId="0" applyFont="1" applyFill="1" applyBorder="1"/>
    <xf numFmtId="9" fontId="11" fillId="0" borderId="0" xfId="0" applyNumberFormat="1" applyFont="1"/>
    <xf numFmtId="9" fontId="12" fillId="0" borderId="0" xfId="0" applyNumberFormat="1" applyFont="1"/>
    <xf numFmtId="0" fontId="13" fillId="0" borderId="0" xfId="1" applyFont="1" applyAlignment="1">
      <alignment horizontal="right"/>
    </xf>
    <xf numFmtId="9" fontId="2" fillId="0" borderId="0" xfId="0" applyNumberFormat="1" applyFont="1" applyAlignment="1">
      <alignment horizontal="right"/>
    </xf>
    <xf numFmtId="9" fontId="12" fillId="0" borderId="0" xfId="0" applyNumberFormat="1" applyFont="1" applyAlignment="1">
      <alignment horizontal="right"/>
    </xf>
    <xf numFmtId="9" fontId="11" fillId="0" borderId="0" xfId="0" applyNumberFormat="1" applyFont="1" applyAlignment="1">
      <alignment horizontal="right"/>
    </xf>
    <xf numFmtId="2" fontId="1" fillId="0" borderId="0" xfId="0" applyNumberFormat="1" applyFont="1"/>
    <xf numFmtId="2" fontId="5" fillId="0" borderId="0" xfId="0" applyNumberFormat="1" applyFont="1"/>
    <xf numFmtId="164" fontId="2" fillId="0" borderId="0" xfId="0" applyNumberFormat="1" applyFont="1"/>
    <xf numFmtId="164" fontId="9" fillId="0" borderId="0" xfId="0" applyNumberFormat="1" applyFont="1"/>
    <xf numFmtId="14" fontId="10" fillId="0" borderId="0" xfId="0" applyNumberFormat="1" applyFont="1" applyAlignment="1">
      <alignment horizontal="right"/>
    </xf>
    <xf numFmtId="0" fontId="1" fillId="4" borderId="7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1" fillId="4" borderId="0" xfId="0" applyFont="1" applyFill="1" applyAlignment="1">
      <alignment horizontal="center"/>
    </xf>
    <xf numFmtId="0" fontId="1" fillId="4" borderId="5" xfId="0" applyFont="1" applyFill="1" applyBorder="1" applyAlignment="1">
      <alignment horizontal="center"/>
    </xf>
    <xf numFmtId="164" fontId="1" fillId="4" borderId="0" xfId="0" applyNumberFormat="1" applyFont="1" applyFill="1" applyAlignment="1">
      <alignment horizontal="center"/>
    </xf>
    <xf numFmtId="164" fontId="1" fillId="4" borderId="5" xfId="0" applyNumberFormat="1" applyFont="1" applyFill="1" applyBorder="1" applyAlignment="1">
      <alignment horizontal="center"/>
    </xf>
    <xf numFmtId="164" fontId="1" fillId="4" borderId="7" xfId="0" applyNumberFormat="1" applyFont="1" applyFill="1" applyBorder="1" applyAlignment="1">
      <alignment horizontal="center"/>
    </xf>
    <xf numFmtId="164" fontId="1" fillId="4" borderId="8" xfId="0" applyNumberFormat="1" applyFont="1" applyFill="1" applyBorder="1" applyAlignment="1">
      <alignment horizontal="center"/>
    </xf>
    <xf numFmtId="3" fontId="1" fillId="4" borderId="0" xfId="0" applyNumberFormat="1" applyFont="1" applyFill="1" applyAlignment="1">
      <alignment horizontal="center"/>
    </xf>
    <xf numFmtId="3" fontId="1" fillId="4" borderId="5" xfId="0" applyNumberFormat="1" applyFont="1" applyFill="1" applyBorder="1" applyAlignment="1">
      <alignment horizontal="center"/>
    </xf>
    <xf numFmtId="0" fontId="4" fillId="4" borderId="7" xfId="1" applyFont="1" applyFill="1" applyBorder="1" applyAlignment="1">
      <alignment horizontal="center"/>
    </xf>
    <xf numFmtId="0" fontId="4" fillId="4" borderId="8" xfId="1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9525</xdr:colOff>
      <xdr:row>0</xdr:row>
      <xdr:rowOff>0</xdr:rowOff>
    </xdr:from>
    <xdr:to>
      <xdr:col>13</xdr:col>
      <xdr:colOff>9525</xdr:colOff>
      <xdr:row>103</xdr:row>
      <xdr:rowOff>142875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F6FB5FB0-8819-45AB-9296-EC1F230FD5F1}"/>
            </a:ext>
          </a:extLst>
        </xdr:cNvPr>
        <xdr:cNvCxnSpPr/>
      </xdr:nvCxnSpPr>
      <xdr:spPr>
        <a:xfrm>
          <a:off x="8763000" y="0"/>
          <a:ext cx="0" cy="168021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19050</xdr:colOff>
      <xdr:row>0</xdr:row>
      <xdr:rowOff>0</xdr:rowOff>
    </xdr:from>
    <xdr:to>
      <xdr:col>21</xdr:col>
      <xdr:colOff>19050</xdr:colOff>
      <xdr:row>104</xdr:row>
      <xdr:rowOff>57150</xdr:rowOff>
    </xdr:to>
    <xdr:cxnSp macro="">
      <xdr:nvCxnSpPr>
        <xdr:cNvPr id="6" name="Straight Connector 5">
          <a:extLst>
            <a:ext uri="{FF2B5EF4-FFF2-40B4-BE49-F238E27FC236}">
              <a16:creationId xmlns:a16="http://schemas.microsoft.com/office/drawing/2014/main" id="{181C05F7-D4A5-4816-8B94-1946ABE58156}"/>
            </a:ext>
          </a:extLst>
        </xdr:cNvPr>
        <xdr:cNvCxnSpPr/>
      </xdr:nvCxnSpPr>
      <xdr:spPr>
        <a:xfrm>
          <a:off x="13649325" y="0"/>
          <a:ext cx="0" cy="16878300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investors.toasttab.com/overview/default.aspx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sec.gov/ix?doc=/Archives/edgar/data/0001650164/000165016423000069/tost-20221231.htm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sec.gov/ix?doc=/Archives/edgar/data/1650164/000165016424000084/tost-20231231.htm" TargetMode="External"/><Relationship Id="rId7" Type="http://schemas.openxmlformats.org/officeDocument/2006/relationships/hyperlink" Target="https://www.sec.gov/ix?doc=/Archives/edgar/data/0001650164/000165016423000305/tost-20230630.htm" TargetMode="External"/><Relationship Id="rId12" Type="http://schemas.openxmlformats.org/officeDocument/2006/relationships/hyperlink" Target="https://investors.toasttab.com/news/news-details/2024/Toast-Announces-Third-Quarter-2024-Financial-Results/default.aspx" TargetMode="External"/><Relationship Id="rId2" Type="http://schemas.openxmlformats.org/officeDocument/2006/relationships/hyperlink" Target="https://sec.gov/ix?doc=/Archives/edgar/data/1650164/000165016424000084/tost-20231231.htm" TargetMode="External"/><Relationship Id="rId1" Type="http://schemas.openxmlformats.org/officeDocument/2006/relationships/hyperlink" Target="https://www.sec.gov/ix?doc=/Archives/edgar/data/1650164/000165016424000283/tost-20240630.htm" TargetMode="External"/><Relationship Id="rId6" Type="http://schemas.openxmlformats.org/officeDocument/2006/relationships/hyperlink" Target="https://www.sec.gov/ix?doc=/Archives/edgar/data/0001650164/000165016422000092/tost-20220630.htm" TargetMode="External"/><Relationship Id="rId11" Type="http://schemas.openxmlformats.org/officeDocument/2006/relationships/hyperlink" Target="https://www.sec.gov/ix?doc=/Archives/edgar/data/0001650164/000165016422000142/tost-20220930.htm" TargetMode="External"/><Relationship Id="rId5" Type="http://schemas.openxmlformats.org/officeDocument/2006/relationships/hyperlink" Target="https://www.sec.gov/ix?doc=/Archives/edgar/data/0001650164/000165016423000168/tost-20230331.htm" TargetMode="External"/><Relationship Id="rId10" Type="http://schemas.openxmlformats.org/officeDocument/2006/relationships/hyperlink" Target="https://www.sec.gov/ix?doc=/Archives/edgar/data/0001650164/000165016422000009/tost-20211231.htm" TargetMode="External"/><Relationship Id="rId4" Type="http://schemas.openxmlformats.org/officeDocument/2006/relationships/hyperlink" Target="https://www.sec.gov/ix?doc=/Archives/edgar/data/1650164/000165016423000369/tost-20230930.htm" TargetMode="External"/><Relationship Id="rId9" Type="http://schemas.openxmlformats.org/officeDocument/2006/relationships/hyperlink" Target="https://sec.gov/ix?doc=/Archives/edgar/data/0001650164/000165016423000069/tost-20221231.htm" TargetMode="External"/><Relationship Id="rId1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52767D-E034-4C61-A8CB-E9E6C309CBB2}">
  <dimension ref="A2:S40"/>
  <sheetViews>
    <sheetView tabSelected="1" workbookViewId="0">
      <selection activeCell="C40" sqref="C40"/>
    </sheetView>
  </sheetViews>
  <sheetFormatPr defaultRowHeight="12.75"/>
  <cols>
    <col min="1" max="16384" width="9.140625" style="1"/>
  </cols>
  <sheetData>
    <row r="2" spans="1:19">
      <c r="B2" s="2" t="s">
        <v>0</v>
      </c>
      <c r="D2" s="1" t="s">
        <v>27</v>
      </c>
    </row>
    <row r="3" spans="1:19">
      <c r="B3" s="2" t="s">
        <v>1</v>
      </c>
    </row>
    <row r="5" spans="1:19">
      <c r="B5" s="60" t="s">
        <v>2</v>
      </c>
      <c r="C5" s="61"/>
      <c r="D5" s="62"/>
      <c r="G5" s="60" t="s">
        <v>25</v>
      </c>
      <c r="H5" s="61"/>
      <c r="I5" s="61"/>
      <c r="J5" s="61"/>
      <c r="K5" s="61"/>
      <c r="L5" s="61"/>
      <c r="M5" s="61"/>
      <c r="N5" s="61"/>
      <c r="O5" s="61"/>
      <c r="P5" s="62"/>
      <c r="S5" s="2" t="s">
        <v>122</v>
      </c>
    </row>
    <row r="6" spans="1:19">
      <c r="B6" s="3" t="s">
        <v>3</v>
      </c>
      <c r="C6" s="1">
        <v>36.5</v>
      </c>
      <c r="D6" s="11"/>
      <c r="G6" s="7"/>
      <c r="H6" s="46"/>
      <c r="I6" s="46"/>
      <c r="J6" s="46"/>
      <c r="K6" s="46"/>
      <c r="L6" s="46"/>
      <c r="M6" s="46"/>
      <c r="N6" s="46"/>
      <c r="O6" s="46"/>
      <c r="P6" s="13"/>
      <c r="S6" s="1" t="s">
        <v>123</v>
      </c>
    </row>
    <row r="7" spans="1:19">
      <c r="B7" s="3" t="s">
        <v>4</v>
      </c>
      <c r="C7" s="1">
        <f>+'Financial Model'!M26</f>
        <v>563</v>
      </c>
      <c r="D7" s="11" t="str">
        <f>+$C$30</f>
        <v>Q324</v>
      </c>
      <c r="G7" s="7"/>
      <c r="H7" s="46"/>
      <c r="I7" s="46"/>
      <c r="J7" s="46"/>
      <c r="K7" s="46"/>
      <c r="L7" s="46"/>
      <c r="M7" s="46"/>
      <c r="N7" s="46"/>
      <c r="O7" s="46"/>
      <c r="P7" s="13"/>
      <c r="S7" s="1" t="s">
        <v>124</v>
      </c>
    </row>
    <row r="8" spans="1:19">
      <c r="B8" s="3" t="s">
        <v>5</v>
      </c>
      <c r="C8" s="18">
        <f>C6*C7</f>
        <v>20549.5</v>
      </c>
      <c r="D8" s="11"/>
      <c r="G8" s="35">
        <v>45323</v>
      </c>
      <c r="H8" s="46" t="s">
        <v>120</v>
      </c>
      <c r="I8" s="46"/>
      <c r="J8" s="46"/>
      <c r="K8" s="46"/>
      <c r="L8" s="46"/>
      <c r="M8" s="46"/>
      <c r="N8" s="46"/>
      <c r="O8" s="46"/>
      <c r="P8" s="13"/>
      <c r="S8" s="1" t="s">
        <v>125</v>
      </c>
    </row>
    <row r="9" spans="1:19">
      <c r="B9" s="3" t="s">
        <v>6</v>
      </c>
      <c r="C9" s="18">
        <f>+'Financial Model'!M78</f>
        <v>1272</v>
      </c>
      <c r="D9" s="11" t="str">
        <f>+$C$30</f>
        <v>Q324</v>
      </c>
      <c r="G9" s="7"/>
      <c r="H9" s="46"/>
      <c r="I9" s="46"/>
      <c r="J9" s="46"/>
      <c r="K9" s="46"/>
      <c r="L9" s="46"/>
      <c r="M9" s="46"/>
      <c r="N9" s="46"/>
      <c r="O9" s="46"/>
      <c r="P9" s="13"/>
      <c r="S9" s="1" t="s">
        <v>127</v>
      </c>
    </row>
    <row r="10" spans="1:19">
      <c r="B10" s="3" t="s">
        <v>7</v>
      </c>
      <c r="C10" s="18">
        <f>+'Financial Model'!M79</f>
        <v>0</v>
      </c>
      <c r="D10" s="11" t="str">
        <f>+$C$30</f>
        <v>Q324</v>
      </c>
      <c r="G10" s="35">
        <v>45017</v>
      </c>
      <c r="H10" s="46" t="s">
        <v>128</v>
      </c>
      <c r="I10" s="46"/>
      <c r="J10" s="46"/>
      <c r="K10" s="46"/>
      <c r="L10" s="46"/>
      <c r="M10" s="46"/>
      <c r="N10" s="46"/>
      <c r="O10" s="46"/>
      <c r="P10" s="13"/>
      <c r="S10" s="1" t="s">
        <v>126</v>
      </c>
    </row>
    <row r="11" spans="1:19">
      <c r="B11" s="3" t="s">
        <v>8</v>
      </c>
      <c r="C11" s="18">
        <f>C9-C10</f>
        <v>1272</v>
      </c>
      <c r="D11" s="11" t="str">
        <f>+$C$30</f>
        <v>Q324</v>
      </c>
      <c r="G11" s="7"/>
      <c r="H11" s="46"/>
      <c r="I11" s="46"/>
      <c r="J11" s="46"/>
      <c r="K11" s="46"/>
      <c r="L11" s="46"/>
      <c r="M11" s="46"/>
      <c r="N11" s="46"/>
      <c r="O11" s="46"/>
      <c r="P11" s="13"/>
    </row>
    <row r="12" spans="1:19">
      <c r="B12" s="4" t="s">
        <v>9</v>
      </c>
      <c r="C12" s="19">
        <f>C8-C11</f>
        <v>19277.5</v>
      </c>
      <c r="D12" s="12"/>
      <c r="G12" s="35">
        <v>44440</v>
      </c>
      <c r="H12" s="46" t="s">
        <v>130</v>
      </c>
      <c r="I12" s="46"/>
      <c r="J12" s="46"/>
      <c r="K12" s="46"/>
      <c r="L12" s="46"/>
      <c r="M12" s="46"/>
      <c r="N12" s="46"/>
      <c r="O12" s="46"/>
      <c r="P12" s="13"/>
    </row>
    <row r="13" spans="1:19">
      <c r="G13" s="7"/>
      <c r="H13" s="46"/>
      <c r="I13" s="46"/>
      <c r="J13" s="46"/>
      <c r="K13" s="46"/>
      <c r="L13" s="46"/>
      <c r="M13" s="46"/>
      <c r="N13" s="46"/>
      <c r="O13" s="46"/>
      <c r="P13" s="13"/>
    </row>
    <row r="14" spans="1:19">
      <c r="G14" s="7"/>
      <c r="H14" s="46"/>
      <c r="I14" s="46"/>
      <c r="J14" s="46"/>
      <c r="K14" s="46"/>
      <c r="L14" s="46"/>
      <c r="M14" s="46"/>
      <c r="N14" s="46"/>
      <c r="O14" s="46"/>
      <c r="P14" s="13"/>
    </row>
    <row r="15" spans="1:19">
      <c r="B15" s="60" t="s">
        <v>10</v>
      </c>
      <c r="C15" s="61"/>
      <c r="D15" s="62"/>
      <c r="G15" s="35">
        <v>43922</v>
      </c>
      <c r="H15" s="46" t="s">
        <v>121</v>
      </c>
      <c r="I15" s="46"/>
      <c r="J15" s="46"/>
      <c r="K15" s="46"/>
      <c r="L15" s="46"/>
      <c r="M15" s="46"/>
      <c r="N15" s="46"/>
      <c r="O15" s="46"/>
      <c r="P15" s="13"/>
    </row>
    <row r="16" spans="1:19">
      <c r="A16" s="1" t="s">
        <v>30</v>
      </c>
      <c r="B16" s="5" t="s">
        <v>11</v>
      </c>
      <c r="C16" s="63" t="s">
        <v>31</v>
      </c>
      <c r="D16" s="64"/>
      <c r="G16" s="7"/>
      <c r="H16" s="46"/>
      <c r="I16" s="46"/>
      <c r="J16" s="46"/>
      <c r="K16" s="46"/>
      <c r="L16" s="46"/>
      <c r="M16" s="46"/>
      <c r="N16" s="46"/>
      <c r="O16" s="46"/>
      <c r="P16" s="13"/>
    </row>
    <row r="17" spans="1:16">
      <c r="B17" s="5" t="s">
        <v>12</v>
      </c>
      <c r="C17" s="63" t="s">
        <v>34</v>
      </c>
      <c r="D17" s="64"/>
      <c r="G17" s="7"/>
      <c r="H17" s="46"/>
      <c r="I17" s="46"/>
      <c r="J17" s="46"/>
      <c r="K17" s="46"/>
      <c r="L17" s="46"/>
      <c r="M17" s="46"/>
      <c r="N17" s="46"/>
      <c r="O17" s="46"/>
      <c r="P17" s="13"/>
    </row>
    <row r="18" spans="1:16">
      <c r="B18" s="5" t="s">
        <v>35</v>
      </c>
      <c r="C18" s="63" t="s">
        <v>36</v>
      </c>
      <c r="D18" s="64"/>
      <c r="G18" s="16">
        <v>41030</v>
      </c>
      <c r="H18" s="14" t="s">
        <v>29</v>
      </c>
      <c r="I18" s="14"/>
      <c r="J18" s="14"/>
      <c r="K18" s="14"/>
      <c r="L18" s="14"/>
      <c r="M18" s="14"/>
      <c r="N18" s="14"/>
      <c r="O18" s="14"/>
      <c r="P18" s="15"/>
    </row>
    <row r="19" spans="1:16">
      <c r="A19" s="1" t="s">
        <v>30</v>
      </c>
      <c r="B19" s="6" t="s">
        <v>32</v>
      </c>
      <c r="C19" s="58" t="s">
        <v>33</v>
      </c>
      <c r="D19" s="59"/>
    </row>
    <row r="22" spans="1:16">
      <c r="B22" s="60" t="s">
        <v>13</v>
      </c>
      <c r="C22" s="61"/>
      <c r="D22" s="62"/>
    </row>
    <row r="23" spans="1:16">
      <c r="B23" s="7" t="s">
        <v>14</v>
      </c>
      <c r="C23" s="63" t="s">
        <v>28</v>
      </c>
      <c r="D23" s="64"/>
    </row>
    <row r="24" spans="1:16">
      <c r="B24" s="7" t="s">
        <v>15</v>
      </c>
      <c r="C24" s="63">
        <v>2011</v>
      </c>
      <c r="D24" s="64"/>
    </row>
    <row r="25" spans="1:16">
      <c r="B25" s="7" t="s">
        <v>16</v>
      </c>
      <c r="C25" s="63">
        <v>2021</v>
      </c>
      <c r="D25" s="64"/>
    </row>
    <row r="26" spans="1:16">
      <c r="B26" s="7"/>
      <c r="C26" s="63"/>
      <c r="D26" s="64"/>
    </row>
    <row r="27" spans="1:16">
      <c r="B27" s="7" t="s">
        <v>129</v>
      </c>
      <c r="C27" s="69">
        <f>+'Financial Model'!U39</f>
        <v>106000</v>
      </c>
      <c r="D27" s="64"/>
    </row>
    <row r="28" spans="1:16">
      <c r="B28" s="7" t="s">
        <v>119</v>
      </c>
      <c r="C28" s="69">
        <f>+'Financial Model'!U37</f>
        <v>5500</v>
      </c>
      <c r="D28" s="70"/>
    </row>
    <row r="29" spans="1:16">
      <c r="B29" s="7"/>
      <c r="C29" s="63"/>
      <c r="D29" s="64"/>
    </row>
    <row r="30" spans="1:16">
      <c r="B30" s="7" t="s">
        <v>17</v>
      </c>
      <c r="C30" s="26" t="s">
        <v>39</v>
      </c>
      <c r="D30" s="27">
        <f>+'Financial Model'!M3</f>
        <v>45603</v>
      </c>
    </row>
    <row r="31" spans="1:16">
      <c r="B31" s="8" t="s">
        <v>18</v>
      </c>
      <c r="C31" s="71" t="s">
        <v>26</v>
      </c>
      <c r="D31" s="72"/>
    </row>
    <row r="34" spans="2:4">
      <c r="B34" s="60" t="s">
        <v>19</v>
      </c>
      <c r="C34" s="61"/>
      <c r="D34" s="62"/>
    </row>
    <row r="35" spans="2:4">
      <c r="B35" s="7" t="s">
        <v>20</v>
      </c>
      <c r="C35" s="65">
        <f>+C6/'Financial Model'!M76</f>
        <v>14.471478873239437</v>
      </c>
      <c r="D35" s="66"/>
    </row>
    <row r="36" spans="2:4">
      <c r="B36" s="7" t="s">
        <v>21</v>
      </c>
      <c r="C36" s="65">
        <f>C8/SUM('Financial Model'!J7:M7)</f>
        <v>4.4116573636753973</v>
      </c>
      <c r="D36" s="66"/>
    </row>
    <row r="37" spans="2:4">
      <c r="B37" s="7" t="s">
        <v>22</v>
      </c>
      <c r="C37" s="65">
        <f>C12/SUM('Financial Model'!J7:M7)</f>
        <v>4.1385787891799053</v>
      </c>
      <c r="D37" s="66"/>
    </row>
    <row r="38" spans="2:4">
      <c r="B38" s="7" t="s">
        <v>23</v>
      </c>
      <c r="C38" s="65">
        <f>C6/SUM('Financial Model'!J25:M25)</f>
        <v>-385.18800216010868</v>
      </c>
      <c r="D38" s="66"/>
    </row>
    <row r="39" spans="2:4">
      <c r="B39" s="8" t="s">
        <v>24</v>
      </c>
      <c r="C39" s="67">
        <f>C12/SUM('Financial Model'!J24:M24)</f>
        <v>-393.41836734693879</v>
      </c>
      <c r="D39" s="68"/>
    </row>
    <row r="40" spans="2:4">
      <c r="B40" s="1" t="s">
        <v>144</v>
      </c>
      <c r="C40" s="34">
        <f>+C6/'Financial Model'!M99</f>
        <v>81.223320158102766</v>
      </c>
    </row>
  </sheetData>
  <mergeCells count="22">
    <mergeCell ref="G5:P5"/>
    <mergeCell ref="C37:D37"/>
    <mergeCell ref="C38:D38"/>
    <mergeCell ref="C39:D39"/>
    <mergeCell ref="C28:D28"/>
    <mergeCell ref="C29:D29"/>
    <mergeCell ref="C31:D31"/>
    <mergeCell ref="B34:D34"/>
    <mergeCell ref="C35:D35"/>
    <mergeCell ref="C36:D36"/>
    <mergeCell ref="B22:D22"/>
    <mergeCell ref="C23:D23"/>
    <mergeCell ref="C24:D24"/>
    <mergeCell ref="C25:D25"/>
    <mergeCell ref="C26:D26"/>
    <mergeCell ref="C27:D27"/>
    <mergeCell ref="C19:D19"/>
    <mergeCell ref="B5:D5"/>
    <mergeCell ref="B15:D15"/>
    <mergeCell ref="C16:D16"/>
    <mergeCell ref="C17:D17"/>
    <mergeCell ref="C18:D18"/>
  </mergeCells>
  <hyperlinks>
    <hyperlink ref="C31:D31" r:id="rId1" display="Link" xr:uid="{8920C50F-38C5-44AC-8838-75639CA0C9B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FD4D-2238-4E20-B0AD-CEC470AFAB11}">
  <dimension ref="B1:AD100"/>
  <sheetViews>
    <sheetView zoomScaleNormal="100" workbookViewId="0">
      <pane xSplit="2" ySplit="3" topLeftCell="C67" activePane="bottomRight" state="frozen"/>
      <selection pane="topRight" activeCell="C1" sqref="C1"/>
      <selection pane="bottomLeft" activeCell="A4" sqref="A4"/>
      <selection pane="bottomRight" activeCell="B109" sqref="B109"/>
    </sheetView>
  </sheetViews>
  <sheetFormatPr defaultRowHeight="12.75"/>
  <cols>
    <col min="1" max="1" width="4.28515625" style="1" customWidth="1"/>
    <col min="2" max="2" width="26.42578125" style="1" bestFit="1" customWidth="1"/>
    <col min="3" max="12" width="9.140625" style="1"/>
    <col min="13" max="14" width="9.140625" style="20"/>
    <col min="15" max="21" width="9.140625" style="1"/>
    <col min="22" max="22" width="9.140625" style="20"/>
    <col min="23" max="16384" width="9.140625" style="1"/>
  </cols>
  <sheetData>
    <row r="1" spans="2:30" s="10" customFormat="1">
      <c r="C1" s="10" t="s">
        <v>109</v>
      </c>
      <c r="D1" s="17" t="s">
        <v>110</v>
      </c>
      <c r="E1" s="17" t="s">
        <v>111</v>
      </c>
      <c r="F1" s="17" t="s">
        <v>112</v>
      </c>
      <c r="G1" s="49" t="s">
        <v>41</v>
      </c>
      <c r="H1" s="17" t="s">
        <v>42</v>
      </c>
      <c r="I1" s="17" t="s">
        <v>43</v>
      </c>
      <c r="J1" s="17" t="s">
        <v>44</v>
      </c>
      <c r="K1" s="10" t="s">
        <v>37</v>
      </c>
      <c r="L1" s="17" t="s">
        <v>38</v>
      </c>
      <c r="M1" s="17" t="s">
        <v>39</v>
      </c>
      <c r="N1" s="36" t="s">
        <v>40</v>
      </c>
      <c r="Q1" s="10" t="s">
        <v>139</v>
      </c>
      <c r="R1" s="10" t="s">
        <v>96</v>
      </c>
      <c r="S1" s="17" t="s">
        <v>97</v>
      </c>
      <c r="T1" s="17" t="s">
        <v>98</v>
      </c>
      <c r="U1" s="17" t="s">
        <v>99</v>
      </c>
      <c r="V1" s="36" t="s">
        <v>100</v>
      </c>
      <c r="W1" s="10" t="s">
        <v>101</v>
      </c>
      <c r="X1" s="10" t="s">
        <v>102</v>
      </c>
      <c r="Y1" s="10" t="s">
        <v>103</v>
      </c>
      <c r="Z1" s="10" t="s">
        <v>104</v>
      </c>
      <c r="AA1" s="10" t="s">
        <v>105</v>
      </c>
      <c r="AB1" s="10" t="s">
        <v>106</v>
      </c>
      <c r="AC1" s="10" t="s">
        <v>107</v>
      </c>
      <c r="AD1" s="10" t="s">
        <v>108</v>
      </c>
    </row>
    <row r="2" spans="2:30" s="31" customFormat="1">
      <c r="B2" s="30"/>
      <c r="C2" s="32">
        <v>44651</v>
      </c>
      <c r="D2" s="32">
        <v>44742</v>
      </c>
      <c r="E2" s="32">
        <v>44834</v>
      </c>
      <c r="F2" s="32">
        <v>44926</v>
      </c>
      <c r="G2" s="32">
        <v>45016</v>
      </c>
      <c r="H2" s="32">
        <v>45107</v>
      </c>
      <c r="I2" s="32">
        <v>45199</v>
      </c>
      <c r="J2" s="32">
        <v>45291</v>
      </c>
      <c r="K2" s="32">
        <v>45382</v>
      </c>
      <c r="L2" s="32">
        <v>45473</v>
      </c>
      <c r="M2" s="57">
        <v>45565</v>
      </c>
      <c r="N2" s="37"/>
      <c r="Q2" s="32">
        <v>43830</v>
      </c>
      <c r="R2" s="32">
        <v>44196</v>
      </c>
      <c r="S2" s="32">
        <v>44561</v>
      </c>
      <c r="T2" s="32">
        <v>44926</v>
      </c>
      <c r="U2" s="32">
        <v>45291</v>
      </c>
      <c r="V2" s="37"/>
    </row>
    <row r="3" spans="2:30" s="33" customFormat="1" ht="11.25">
      <c r="I3" s="33">
        <v>45238</v>
      </c>
      <c r="J3" s="33">
        <v>45349</v>
      </c>
      <c r="K3" s="33">
        <v>45420</v>
      </c>
      <c r="L3" s="33">
        <v>45511</v>
      </c>
      <c r="M3" s="38">
        <v>45603</v>
      </c>
      <c r="N3" s="38"/>
      <c r="U3" s="33">
        <v>45349</v>
      </c>
      <c r="V3" s="38"/>
    </row>
    <row r="4" spans="2:30" s="29" customFormat="1">
      <c r="B4" s="28" t="s">
        <v>45</v>
      </c>
      <c r="C4" s="29">
        <v>63</v>
      </c>
      <c r="D4" s="29">
        <v>76</v>
      </c>
      <c r="E4" s="29">
        <v>90</v>
      </c>
      <c r="F4" s="29">
        <f>T4-SUM(C4:E4)</f>
        <v>95</v>
      </c>
      <c r="G4" s="29">
        <v>107</v>
      </c>
      <c r="H4" s="29">
        <v>121</v>
      </c>
      <c r="I4" s="29">
        <v>131</v>
      </c>
      <c r="J4" s="29">
        <f t="shared" ref="J4:J11" si="0">+U4-SUM(G4:I4)</f>
        <v>141</v>
      </c>
      <c r="K4" s="29">
        <v>151</v>
      </c>
      <c r="L4" s="29">
        <v>166</v>
      </c>
      <c r="M4" s="29">
        <v>189</v>
      </c>
      <c r="S4" s="29">
        <v>169</v>
      </c>
      <c r="T4" s="29">
        <v>324</v>
      </c>
      <c r="U4" s="29">
        <v>500</v>
      </c>
    </row>
    <row r="5" spans="2:30" s="29" customFormat="1">
      <c r="B5" s="28" t="s">
        <v>46</v>
      </c>
      <c r="C5" s="29">
        <v>438</v>
      </c>
      <c r="D5" s="29">
        <v>562</v>
      </c>
      <c r="E5" s="29">
        <v>628</v>
      </c>
      <c r="F5" s="29">
        <f>T5-SUM(C5:E5)</f>
        <v>640</v>
      </c>
      <c r="G5" s="29">
        <v>673</v>
      </c>
      <c r="H5" s="29">
        <v>808</v>
      </c>
      <c r="I5" s="29">
        <v>856</v>
      </c>
      <c r="J5" s="29">
        <f t="shared" si="0"/>
        <v>852</v>
      </c>
      <c r="K5" s="29">
        <v>873</v>
      </c>
      <c r="L5" s="29">
        <v>1023</v>
      </c>
      <c r="M5" s="29">
        <v>1067</v>
      </c>
      <c r="S5" s="29">
        <v>1406</v>
      </c>
      <c r="T5" s="29">
        <v>2268</v>
      </c>
      <c r="U5" s="29">
        <v>3189</v>
      </c>
    </row>
    <row r="6" spans="2:30" s="29" customFormat="1">
      <c r="B6" s="28" t="s">
        <v>47</v>
      </c>
      <c r="C6" s="29">
        <f>29+5</f>
        <v>34</v>
      </c>
      <c r="D6" s="29">
        <f>30+7</f>
        <v>37</v>
      </c>
      <c r="E6" s="29">
        <f>27+7</f>
        <v>34</v>
      </c>
      <c r="F6" s="29">
        <f>T6-SUM(C6:E6)</f>
        <v>34</v>
      </c>
      <c r="G6" s="29">
        <v>39</v>
      </c>
      <c r="H6" s="29">
        <v>49</v>
      </c>
      <c r="I6" s="29">
        <f>34+11</f>
        <v>45</v>
      </c>
      <c r="J6" s="29">
        <f t="shared" si="0"/>
        <v>43</v>
      </c>
      <c r="K6" s="29">
        <v>51</v>
      </c>
      <c r="L6" s="29">
        <v>53</v>
      </c>
      <c r="M6" s="29">
        <v>49</v>
      </c>
      <c r="S6" s="29">
        <v>130</v>
      </c>
      <c r="T6" s="29">
        <v>139</v>
      </c>
      <c r="U6" s="29">
        <v>176</v>
      </c>
    </row>
    <row r="7" spans="2:30" s="25" customFormat="1">
      <c r="B7" s="25" t="s">
        <v>48</v>
      </c>
      <c r="C7" s="25">
        <f t="shared" ref="C7:I7" si="1">+C4+C5+C6</f>
        <v>535</v>
      </c>
      <c r="D7" s="25">
        <f t="shared" si="1"/>
        <v>675</v>
      </c>
      <c r="E7" s="25">
        <f t="shared" si="1"/>
        <v>752</v>
      </c>
      <c r="F7" s="25">
        <f t="shared" si="1"/>
        <v>769</v>
      </c>
      <c r="G7" s="25">
        <f t="shared" si="1"/>
        <v>819</v>
      </c>
      <c r="H7" s="25">
        <f t="shared" si="1"/>
        <v>978</v>
      </c>
      <c r="I7" s="25">
        <f t="shared" si="1"/>
        <v>1032</v>
      </c>
      <c r="J7" s="25">
        <f t="shared" si="0"/>
        <v>1036</v>
      </c>
      <c r="K7" s="25">
        <f>+K4+K5+K6</f>
        <v>1075</v>
      </c>
      <c r="L7" s="25">
        <f>+L4+L5+L6</f>
        <v>1242</v>
      </c>
      <c r="M7" s="25">
        <f>+M4+M5+M6</f>
        <v>1305</v>
      </c>
      <c r="N7" s="39">
        <f>+M7*(1+N33)</f>
        <v>1566</v>
      </c>
      <c r="S7" s="25">
        <f t="shared" ref="S7" si="2">+S4+S5+S6</f>
        <v>1705</v>
      </c>
      <c r="T7" s="25">
        <f t="shared" ref="T7" si="3">+T4+T5+T6</f>
        <v>2731</v>
      </c>
      <c r="U7" s="25">
        <f>+U4+U5+U6</f>
        <v>3865</v>
      </c>
      <c r="V7" s="39">
        <f>+SUM(K7:N7)</f>
        <v>5188</v>
      </c>
    </row>
    <row r="8" spans="2:30" s="29" customFormat="1">
      <c r="B8" s="28" t="s">
        <v>45</v>
      </c>
      <c r="C8" s="29">
        <v>25</v>
      </c>
      <c r="D8" s="29">
        <v>27</v>
      </c>
      <c r="E8" s="29">
        <v>29</v>
      </c>
      <c r="F8" s="29">
        <f>T8-SUM(C8:E8)</f>
        <v>31</v>
      </c>
      <c r="G8" s="29">
        <v>36</v>
      </c>
      <c r="H8" s="29">
        <v>39</v>
      </c>
      <c r="I8" s="29">
        <v>43</v>
      </c>
      <c r="J8" s="29">
        <f t="shared" si="0"/>
        <v>48</v>
      </c>
      <c r="K8" s="29">
        <v>50</v>
      </c>
      <c r="L8" s="29">
        <v>53</v>
      </c>
      <c r="M8" s="29">
        <v>56</v>
      </c>
      <c r="S8" s="29">
        <v>63</v>
      </c>
      <c r="T8" s="29">
        <v>112</v>
      </c>
      <c r="U8" s="29">
        <v>166</v>
      </c>
    </row>
    <row r="9" spans="2:30" s="29" customFormat="1">
      <c r="B9" s="28" t="s">
        <v>46</v>
      </c>
      <c r="C9" s="29">
        <v>347</v>
      </c>
      <c r="D9" s="29">
        <v>448</v>
      </c>
      <c r="E9" s="29">
        <v>494</v>
      </c>
      <c r="F9" s="29">
        <f>T9-SUM(C9:E9)</f>
        <v>503</v>
      </c>
      <c r="G9" s="29">
        <v>523</v>
      </c>
      <c r="H9" s="29">
        <v>631</v>
      </c>
      <c r="I9" s="29">
        <v>674</v>
      </c>
      <c r="J9" s="29">
        <f t="shared" si="0"/>
        <v>675</v>
      </c>
      <c r="K9" s="29">
        <v>683</v>
      </c>
      <c r="L9" s="29">
        <v>806</v>
      </c>
      <c r="M9" s="29">
        <v>835</v>
      </c>
      <c r="S9" s="29">
        <v>1120</v>
      </c>
      <c r="T9" s="29">
        <v>1792</v>
      </c>
      <c r="U9" s="29">
        <v>2503</v>
      </c>
    </row>
    <row r="10" spans="2:30" s="29" customFormat="1">
      <c r="B10" s="28" t="s">
        <v>47</v>
      </c>
      <c r="C10" s="29">
        <f>52+21</f>
        <v>73</v>
      </c>
      <c r="D10" s="29">
        <f>61+25</f>
        <v>86</v>
      </c>
      <c r="E10" s="29">
        <f>52+25</f>
        <v>77</v>
      </c>
      <c r="F10" s="29">
        <f>T10-SUM(C10:E10)</f>
        <v>75</v>
      </c>
      <c r="G10" s="29">
        <v>85</v>
      </c>
      <c r="H10" s="29">
        <v>99</v>
      </c>
      <c r="I10" s="29">
        <f>58+30</f>
        <v>88</v>
      </c>
      <c r="J10" s="29">
        <f t="shared" si="0"/>
        <v>85</v>
      </c>
      <c r="K10" s="29">
        <v>92</v>
      </c>
      <c r="L10" s="29">
        <v>96</v>
      </c>
      <c r="M10" s="29">
        <v>91</v>
      </c>
      <c r="S10" s="29">
        <v>204</v>
      </c>
      <c r="T10" s="29">
        <v>311</v>
      </c>
      <c r="U10" s="29">
        <v>357</v>
      </c>
    </row>
    <row r="11" spans="2:30" s="29" customFormat="1">
      <c r="B11" s="28" t="s">
        <v>50</v>
      </c>
      <c r="C11" s="29">
        <v>1</v>
      </c>
      <c r="D11" s="29">
        <v>1</v>
      </c>
      <c r="E11" s="29">
        <v>1</v>
      </c>
      <c r="F11" s="29">
        <f>T11-SUM(C11:E11)</f>
        <v>2</v>
      </c>
      <c r="G11" s="29">
        <v>1</v>
      </c>
      <c r="H11" s="29">
        <v>1</v>
      </c>
      <c r="I11" s="29">
        <v>1</v>
      </c>
      <c r="J11" s="29">
        <f t="shared" si="0"/>
        <v>2</v>
      </c>
      <c r="K11" s="29">
        <v>1</v>
      </c>
      <c r="L11" s="29">
        <v>1</v>
      </c>
      <c r="M11" s="29">
        <v>1</v>
      </c>
      <c r="S11" s="29">
        <v>4</v>
      </c>
      <c r="T11" s="29">
        <v>5</v>
      </c>
      <c r="U11" s="29">
        <v>5</v>
      </c>
    </row>
    <row r="12" spans="2:30" s="18" customFormat="1">
      <c r="B12" s="18" t="s">
        <v>49</v>
      </c>
      <c r="C12" s="18">
        <f>+SUM(C8:C11)</f>
        <v>446</v>
      </c>
      <c r="D12" s="18">
        <f>+SUM(D8:D11)</f>
        <v>562</v>
      </c>
      <c r="E12" s="18">
        <f>+SUM(E8:E11)</f>
        <v>601</v>
      </c>
      <c r="F12" s="18">
        <f>+SUM(F8:F11)</f>
        <v>611</v>
      </c>
      <c r="G12" s="18">
        <f t="shared" ref="G12:M12" si="4">+SUM(G8:G11)</f>
        <v>645</v>
      </c>
      <c r="H12" s="18">
        <f t="shared" si="4"/>
        <v>770</v>
      </c>
      <c r="I12" s="18">
        <f t="shared" si="4"/>
        <v>806</v>
      </c>
      <c r="J12" s="18">
        <f t="shared" si="4"/>
        <v>810</v>
      </c>
      <c r="K12" s="18">
        <f t="shared" si="4"/>
        <v>826</v>
      </c>
      <c r="L12" s="18">
        <f t="shared" si="4"/>
        <v>956</v>
      </c>
      <c r="M12" s="18">
        <f t="shared" si="4"/>
        <v>983</v>
      </c>
      <c r="N12" s="29">
        <f>+N7-N13</f>
        <v>1190.1600000000001</v>
      </c>
      <c r="S12" s="18">
        <f t="shared" ref="S12" si="5">+SUM(S8:S11)</f>
        <v>1391</v>
      </c>
      <c r="T12" s="18">
        <f t="shared" ref="T12" si="6">+SUM(T8:T11)</f>
        <v>2220</v>
      </c>
      <c r="U12" s="18">
        <f>+SUM(U8:U11)</f>
        <v>3031</v>
      </c>
      <c r="V12" s="29">
        <f t="shared" ref="V12:V21" si="7">+SUM(K12:N12)</f>
        <v>3955.16</v>
      </c>
    </row>
    <row r="13" spans="2:30" s="25" customFormat="1">
      <c r="B13" s="25" t="s">
        <v>51</v>
      </c>
      <c r="C13" s="25">
        <f>+C7-C12</f>
        <v>89</v>
      </c>
      <c r="D13" s="25">
        <f>+D7-D12</f>
        <v>113</v>
      </c>
      <c r="E13" s="25">
        <f>+E7-E12</f>
        <v>151</v>
      </c>
      <c r="F13" s="25">
        <f>+F7-F12</f>
        <v>158</v>
      </c>
      <c r="G13" s="25">
        <f t="shared" ref="G13:M13" si="8">+G7-G12</f>
        <v>174</v>
      </c>
      <c r="H13" s="25">
        <f t="shared" si="8"/>
        <v>208</v>
      </c>
      <c r="I13" s="25">
        <f t="shared" si="8"/>
        <v>226</v>
      </c>
      <c r="J13" s="25">
        <f t="shared" si="8"/>
        <v>226</v>
      </c>
      <c r="K13" s="25">
        <f t="shared" si="8"/>
        <v>249</v>
      </c>
      <c r="L13" s="25">
        <f t="shared" si="8"/>
        <v>286</v>
      </c>
      <c r="M13" s="25">
        <f t="shared" si="8"/>
        <v>322</v>
      </c>
      <c r="N13" s="39">
        <f>+N7*N28</f>
        <v>375.84</v>
      </c>
      <c r="S13" s="25">
        <f t="shared" ref="S13" si="9">+S7-S12</f>
        <v>314</v>
      </c>
      <c r="T13" s="25">
        <f t="shared" ref="T13" si="10">+T7-T12</f>
        <v>511</v>
      </c>
      <c r="U13" s="25">
        <f>+U7-U12</f>
        <v>834</v>
      </c>
      <c r="V13" s="39">
        <f t="shared" si="7"/>
        <v>1232.8399999999999</v>
      </c>
    </row>
    <row r="14" spans="2:30" s="18" customFormat="1">
      <c r="B14" s="18" t="s">
        <v>52</v>
      </c>
      <c r="C14" s="18">
        <v>71</v>
      </c>
      <c r="D14" s="18">
        <v>77</v>
      </c>
      <c r="E14" s="18">
        <v>84</v>
      </c>
      <c r="F14" s="18">
        <f>T14-SUM(C14:E14)</f>
        <v>87</v>
      </c>
      <c r="G14" s="18">
        <v>99</v>
      </c>
      <c r="H14" s="18">
        <v>100</v>
      </c>
      <c r="I14" s="18">
        <v>100</v>
      </c>
      <c r="J14" s="18">
        <f>+U14-SUM(G14:I14)</f>
        <v>102</v>
      </c>
      <c r="K14" s="18">
        <v>107</v>
      </c>
      <c r="L14" s="18">
        <v>115</v>
      </c>
      <c r="M14" s="29">
        <v>119</v>
      </c>
      <c r="N14" s="29">
        <v>125</v>
      </c>
      <c r="S14" s="18">
        <v>190</v>
      </c>
      <c r="T14" s="18">
        <v>319</v>
      </c>
      <c r="U14" s="18">
        <v>401</v>
      </c>
      <c r="V14" s="29">
        <f t="shared" si="7"/>
        <v>466</v>
      </c>
    </row>
    <row r="15" spans="2:30" s="18" customFormat="1">
      <c r="B15" s="18" t="s">
        <v>53</v>
      </c>
      <c r="C15" s="18">
        <v>62</v>
      </c>
      <c r="D15" s="18">
        <v>67</v>
      </c>
      <c r="E15" s="18">
        <v>74</v>
      </c>
      <c r="F15" s="18">
        <f>T15-SUM(C15:E15)</f>
        <v>79</v>
      </c>
      <c r="G15" s="18">
        <v>85</v>
      </c>
      <c r="H15" s="18">
        <v>92</v>
      </c>
      <c r="I15" s="18">
        <v>87</v>
      </c>
      <c r="J15" s="18">
        <f>+U15-SUM(G15:I15)</f>
        <v>94</v>
      </c>
      <c r="K15" s="18">
        <v>83</v>
      </c>
      <c r="L15" s="18">
        <v>87</v>
      </c>
      <c r="M15" s="29">
        <v>89</v>
      </c>
      <c r="N15" s="29">
        <f>+N7*0.07</f>
        <v>109.62</v>
      </c>
      <c r="S15" s="18">
        <v>163</v>
      </c>
      <c r="T15" s="18">
        <v>282</v>
      </c>
      <c r="U15" s="18">
        <v>358</v>
      </c>
      <c r="V15" s="29">
        <f t="shared" si="7"/>
        <v>368.62</v>
      </c>
    </row>
    <row r="16" spans="2:30" s="18" customFormat="1">
      <c r="B16" s="18" t="s">
        <v>54</v>
      </c>
      <c r="C16" s="18">
        <v>57</v>
      </c>
      <c r="D16" s="18">
        <v>68</v>
      </c>
      <c r="E16" s="18">
        <v>78</v>
      </c>
      <c r="F16" s="18">
        <f>T16-SUM(C16:E16)</f>
        <v>91</v>
      </c>
      <c r="G16" s="18">
        <v>82</v>
      </c>
      <c r="H16" s="18">
        <v>96</v>
      </c>
      <c r="I16" s="18">
        <v>98</v>
      </c>
      <c r="J16" s="18">
        <f>+U16-SUM(G16:I16)</f>
        <v>86</v>
      </c>
      <c r="K16" s="18">
        <v>74</v>
      </c>
      <c r="L16" s="18">
        <v>75</v>
      </c>
      <c r="M16" s="29">
        <v>80</v>
      </c>
      <c r="N16" s="29">
        <v>78</v>
      </c>
      <c r="S16" s="18">
        <v>189</v>
      </c>
      <c r="T16" s="18">
        <v>294</v>
      </c>
      <c r="U16" s="18">
        <v>362</v>
      </c>
      <c r="V16" s="29">
        <f t="shared" si="7"/>
        <v>307</v>
      </c>
    </row>
    <row r="17" spans="2:22" s="44" customFormat="1">
      <c r="B17" s="44" t="s">
        <v>55</v>
      </c>
      <c r="C17" s="44">
        <v>0</v>
      </c>
      <c r="D17" s="44">
        <v>0</v>
      </c>
      <c r="E17" s="44">
        <v>0</v>
      </c>
      <c r="F17" s="44">
        <f>T17-SUM(C17:E17)</f>
        <v>0</v>
      </c>
      <c r="G17" s="44">
        <v>0</v>
      </c>
      <c r="H17" s="44">
        <v>0</v>
      </c>
      <c r="I17" s="44">
        <v>0</v>
      </c>
      <c r="K17" s="44">
        <v>41</v>
      </c>
      <c r="L17" s="44">
        <v>4</v>
      </c>
      <c r="M17" s="45">
        <v>0</v>
      </c>
      <c r="N17" s="45">
        <v>0</v>
      </c>
      <c r="S17" s="44">
        <v>0</v>
      </c>
      <c r="T17" s="44">
        <v>0</v>
      </c>
      <c r="U17" s="44">
        <v>0</v>
      </c>
      <c r="V17" s="45">
        <f t="shared" si="7"/>
        <v>45</v>
      </c>
    </row>
    <row r="18" spans="2:22" s="25" customFormat="1">
      <c r="B18" s="25" t="s">
        <v>56</v>
      </c>
      <c r="C18" s="25">
        <f>+C13-SUM(C14:C17)</f>
        <v>-101</v>
      </c>
      <c r="D18" s="25">
        <f>+D13-SUM(D14:D17)</f>
        <v>-99</v>
      </c>
      <c r="E18" s="25">
        <f>+E13-SUM(E14:E17)</f>
        <v>-85</v>
      </c>
      <c r="F18" s="25">
        <f>+F13-SUM(F14:F17)</f>
        <v>-99</v>
      </c>
      <c r="G18" s="25">
        <f t="shared" ref="G18:N18" si="11">+G13-SUM(G14:G17)</f>
        <v>-92</v>
      </c>
      <c r="H18" s="25">
        <f t="shared" si="11"/>
        <v>-80</v>
      </c>
      <c r="I18" s="25">
        <f t="shared" si="11"/>
        <v>-59</v>
      </c>
      <c r="J18" s="25">
        <f t="shared" si="11"/>
        <v>-56</v>
      </c>
      <c r="K18" s="25">
        <f t="shared" si="11"/>
        <v>-56</v>
      </c>
      <c r="L18" s="25">
        <f t="shared" si="11"/>
        <v>5</v>
      </c>
      <c r="M18" s="39">
        <f t="shared" si="11"/>
        <v>34</v>
      </c>
      <c r="N18" s="39">
        <f t="shared" si="11"/>
        <v>63.21999999999997</v>
      </c>
      <c r="S18" s="25">
        <f t="shared" ref="S18" si="12">+S13-SUM(S14:S17)</f>
        <v>-228</v>
      </c>
      <c r="T18" s="25">
        <f t="shared" ref="T18" si="13">+T13-SUM(T14:T17)</f>
        <v>-384</v>
      </c>
      <c r="U18" s="25">
        <f>+U13-SUM(U14:U17)</f>
        <v>-287</v>
      </c>
      <c r="V18" s="39">
        <f t="shared" si="7"/>
        <v>46.21999999999997</v>
      </c>
    </row>
    <row r="19" spans="2:22" s="18" customFormat="1">
      <c r="B19" s="18" t="s">
        <v>57</v>
      </c>
      <c r="C19" s="18">
        <v>0</v>
      </c>
      <c r="D19" s="18">
        <v>1</v>
      </c>
      <c r="E19" s="18">
        <v>3</v>
      </c>
      <c r="F19" s="18">
        <f>T19-SUM(C19:E19)</f>
        <v>7</v>
      </c>
      <c r="G19" s="18">
        <v>8</v>
      </c>
      <c r="H19" s="18">
        <v>9</v>
      </c>
      <c r="I19" s="18">
        <v>10</v>
      </c>
      <c r="J19" s="18">
        <f>+U19-SUM(G19:I19)</f>
        <v>10</v>
      </c>
      <c r="K19" s="18">
        <v>10</v>
      </c>
      <c r="L19" s="18">
        <v>10</v>
      </c>
      <c r="M19" s="29">
        <v>9</v>
      </c>
      <c r="N19" s="29">
        <f>AVERAGE(H19:M19)</f>
        <v>9.6666666666666661</v>
      </c>
      <c r="S19" s="18">
        <v>-12</v>
      </c>
      <c r="T19" s="18">
        <v>11</v>
      </c>
      <c r="U19" s="18">
        <v>37</v>
      </c>
      <c r="V19" s="29">
        <f t="shared" si="7"/>
        <v>38.666666666666664</v>
      </c>
    </row>
    <row r="20" spans="2:22" s="18" customFormat="1">
      <c r="B20" s="18" t="s">
        <v>58</v>
      </c>
      <c r="C20" s="18">
        <v>79</v>
      </c>
      <c r="D20" s="18">
        <v>44</v>
      </c>
      <c r="E20" s="18">
        <v>-21</v>
      </c>
      <c r="F20" s="18">
        <f>T20-SUM(C20:E20)</f>
        <v>-7</v>
      </c>
      <c r="G20" s="18">
        <v>3</v>
      </c>
      <c r="H20" s="18">
        <v>-26</v>
      </c>
      <c r="I20" s="18">
        <v>18</v>
      </c>
      <c r="J20" s="18">
        <f>+U20-SUM(G20:I20)</f>
        <v>8</v>
      </c>
      <c r="K20" s="18">
        <v>-36</v>
      </c>
      <c r="L20" s="18">
        <v>-1</v>
      </c>
      <c r="M20" s="29">
        <v>-1</v>
      </c>
      <c r="N20" s="29">
        <f t="shared" ref="N20" si="14">AVERAGE(H20:M20)</f>
        <v>-6.333333333333333</v>
      </c>
      <c r="S20" s="18">
        <v>-97</v>
      </c>
      <c r="T20" s="18">
        <v>95</v>
      </c>
      <c r="U20" s="18">
        <v>3</v>
      </c>
      <c r="V20" s="29">
        <f t="shared" si="7"/>
        <v>-44.333333333333336</v>
      </c>
    </row>
    <row r="21" spans="2:22" s="18" customFormat="1">
      <c r="B21" s="18" t="s">
        <v>59</v>
      </c>
      <c r="C21" s="18">
        <v>-1</v>
      </c>
      <c r="D21" s="18">
        <v>0</v>
      </c>
      <c r="E21" s="18">
        <v>1</v>
      </c>
      <c r="F21" s="18">
        <f>T21-SUM(C21:E21)</f>
        <v>1</v>
      </c>
      <c r="G21" s="18">
        <v>0</v>
      </c>
      <c r="H21" s="18">
        <v>0</v>
      </c>
      <c r="I21" s="18">
        <v>0</v>
      </c>
      <c r="J21" s="18">
        <f>+U21-SUM(G21:I21)</f>
        <v>3</v>
      </c>
      <c r="K21" s="18">
        <v>0</v>
      </c>
      <c r="L21" s="18">
        <v>0</v>
      </c>
      <c r="M21" s="29">
        <v>15</v>
      </c>
      <c r="N21" s="29">
        <f t="shared" ref="N21" si="15">AVERAGE(H21:M21)</f>
        <v>3</v>
      </c>
      <c r="S21" s="18">
        <f>-103-50</f>
        <v>-153</v>
      </c>
      <c r="T21" s="18">
        <v>1</v>
      </c>
      <c r="U21" s="18">
        <v>3</v>
      </c>
      <c r="V21" s="29">
        <f t="shared" si="7"/>
        <v>18</v>
      </c>
    </row>
    <row r="22" spans="2:22" s="18" customFormat="1">
      <c r="B22" s="18" t="s">
        <v>60</v>
      </c>
      <c r="C22" s="18">
        <f>+C18+SUM(C19:C21)</f>
        <v>-23</v>
      </c>
      <c r="D22" s="18">
        <f>+D18+SUM(D19:D21)</f>
        <v>-54</v>
      </c>
      <c r="E22" s="18">
        <f>+E18+SUM(E19:E21)</f>
        <v>-102</v>
      </c>
      <c r="F22" s="18">
        <f>+F18+SUM(F19:F21)</f>
        <v>-98</v>
      </c>
      <c r="G22" s="18">
        <f t="shared" ref="G22:L22" si="16">+G18+SUM(G19:G21)</f>
        <v>-81</v>
      </c>
      <c r="H22" s="18">
        <f t="shared" si="16"/>
        <v>-97</v>
      </c>
      <c r="I22" s="18">
        <f t="shared" si="16"/>
        <v>-31</v>
      </c>
      <c r="J22" s="18">
        <f t="shared" si="16"/>
        <v>-35</v>
      </c>
      <c r="K22" s="18">
        <f t="shared" si="16"/>
        <v>-82</v>
      </c>
      <c r="L22" s="18">
        <f t="shared" si="16"/>
        <v>14</v>
      </c>
      <c r="M22" s="29">
        <f t="shared" ref="M22:N22" si="17">+M18+SUM(M19:M21)</f>
        <v>57</v>
      </c>
      <c r="N22" s="29">
        <f t="shared" si="17"/>
        <v>69.553333333333299</v>
      </c>
      <c r="S22" s="18">
        <f t="shared" ref="S22" si="18">+S18+SUM(S19:S21)</f>
        <v>-490</v>
      </c>
      <c r="T22" s="18">
        <f t="shared" ref="T22" si="19">+T18+SUM(T19:T21)</f>
        <v>-277</v>
      </c>
      <c r="U22" s="18">
        <f>+U18+SUM(U19:U21)</f>
        <v>-244</v>
      </c>
      <c r="V22" s="29">
        <f>+V18+SUM(V19:V21)</f>
        <v>58.553333333333299</v>
      </c>
    </row>
    <row r="23" spans="2:22" s="18" customFormat="1">
      <c r="B23" s="18" t="s">
        <v>61</v>
      </c>
      <c r="C23" s="18">
        <v>0</v>
      </c>
      <c r="D23" s="18">
        <v>0</v>
      </c>
      <c r="E23" s="18">
        <v>-4</v>
      </c>
      <c r="F23" s="18">
        <f>T23-SUM(C23:E23)</f>
        <v>2</v>
      </c>
      <c r="G23" s="18">
        <v>0</v>
      </c>
      <c r="H23" s="18">
        <v>1</v>
      </c>
      <c r="I23" s="18">
        <v>0</v>
      </c>
      <c r="J23" s="18">
        <f>+U23-SUM(G23:I23)</f>
        <v>1</v>
      </c>
      <c r="K23" s="18">
        <v>1</v>
      </c>
      <c r="L23" s="18">
        <v>0</v>
      </c>
      <c r="M23" s="29">
        <v>1</v>
      </c>
      <c r="N23" s="29">
        <v>0</v>
      </c>
      <c r="S23" s="18">
        <v>-3</v>
      </c>
      <c r="T23" s="18">
        <v>-2</v>
      </c>
      <c r="U23" s="18">
        <v>2</v>
      </c>
      <c r="V23" s="29">
        <f>+SUM(K23:N23)</f>
        <v>2</v>
      </c>
    </row>
    <row r="24" spans="2:22" s="25" customFormat="1">
      <c r="B24" s="25" t="s">
        <v>62</v>
      </c>
      <c r="C24" s="25">
        <f>+C22-C23</f>
        <v>-23</v>
      </c>
      <c r="D24" s="25">
        <f>+D22-D23</f>
        <v>-54</v>
      </c>
      <c r="E24" s="25">
        <f>+E22-E23</f>
        <v>-98</v>
      </c>
      <c r="F24" s="25">
        <f>+F22-F23</f>
        <v>-100</v>
      </c>
      <c r="G24" s="25">
        <f t="shared" ref="G24:L24" si="20">+G22-G23</f>
        <v>-81</v>
      </c>
      <c r="H24" s="25">
        <f t="shared" si="20"/>
        <v>-98</v>
      </c>
      <c r="I24" s="25">
        <f t="shared" si="20"/>
        <v>-31</v>
      </c>
      <c r="J24" s="25">
        <f t="shared" si="20"/>
        <v>-36</v>
      </c>
      <c r="K24" s="25">
        <f t="shared" si="20"/>
        <v>-83</v>
      </c>
      <c r="L24" s="25">
        <f t="shared" si="20"/>
        <v>14</v>
      </c>
      <c r="M24" s="39">
        <f t="shared" ref="M24:N24" si="21">+M22-M23</f>
        <v>56</v>
      </c>
      <c r="N24" s="39">
        <f t="shared" si="21"/>
        <v>69.553333333333299</v>
      </c>
      <c r="S24" s="25">
        <f t="shared" ref="S24" si="22">+S22-S23</f>
        <v>-487</v>
      </c>
      <c r="T24" s="25">
        <f t="shared" ref="T24" si="23">+T22-T23</f>
        <v>-275</v>
      </c>
      <c r="U24" s="25">
        <f>+U22-U23</f>
        <v>-246</v>
      </c>
      <c r="V24" s="39">
        <f>+V22-V23</f>
        <v>56.553333333333299</v>
      </c>
    </row>
    <row r="25" spans="2:22" s="21" customFormat="1">
      <c r="B25" s="21" t="s">
        <v>63</v>
      </c>
      <c r="C25" s="21">
        <f>+C24/C26</f>
        <v>-4.5510471618190808E-2</v>
      </c>
      <c r="D25" s="21">
        <f>+D24/D26</f>
        <v>-0.10597951787240356</v>
      </c>
      <c r="E25" s="21">
        <f>+E24/E26</f>
        <v>-0.19076544688118904</v>
      </c>
      <c r="F25" s="21">
        <f>+F24/F26</f>
        <v>-0.1953125</v>
      </c>
      <c r="G25" s="21">
        <f t="shared" ref="G25:N25" si="24">+G24/G26</f>
        <v>-0.15458015267175573</v>
      </c>
      <c r="H25" s="21">
        <f t="shared" si="24"/>
        <v>-0.18525519848771266</v>
      </c>
      <c r="I25" s="21">
        <f t="shared" si="24"/>
        <v>-5.7920158265076176E-2</v>
      </c>
      <c r="J25" s="21">
        <f t="shared" si="24"/>
        <v>-6.7669172932330823E-2</v>
      </c>
      <c r="K25" s="21">
        <f t="shared" si="24"/>
        <v>-0.15173674588665448</v>
      </c>
      <c r="L25" s="21">
        <f t="shared" si="24"/>
        <v>2.5179856115107913E-2</v>
      </c>
      <c r="M25" s="40">
        <f t="shared" si="24"/>
        <v>9.9467140319715805E-2</v>
      </c>
      <c r="N25" s="40">
        <f t="shared" si="24"/>
        <v>0.12354055654233267</v>
      </c>
      <c r="S25" s="21">
        <f t="shared" ref="S25" si="25">+S24/S26</f>
        <v>-1.6793103448275861</v>
      </c>
      <c r="T25" s="21">
        <f t="shared" ref="T25" si="26">+T24/T26</f>
        <v>-0.537109375</v>
      </c>
      <c r="U25" s="21">
        <f>+U24/U26</f>
        <v>-0.46240601503759399</v>
      </c>
      <c r="V25" s="40">
        <f>+V24/V26</f>
        <v>0.10044997039668437</v>
      </c>
    </row>
    <row r="26" spans="2:22">
      <c r="B26" s="1" t="s">
        <v>4</v>
      </c>
      <c r="C26" s="18">
        <v>505.37819500000001</v>
      </c>
      <c r="D26" s="18">
        <v>509.53241800000001</v>
      </c>
      <c r="E26" s="18">
        <v>513.71986700000002</v>
      </c>
      <c r="F26" s="1">
        <f>T26</f>
        <v>512</v>
      </c>
      <c r="G26" s="1">
        <v>524</v>
      </c>
      <c r="H26" s="1">
        <v>529</v>
      </c>
      <c r="I26" s="18">
        <v>535.21953199999996</v>
      </c>
      <c r="J26" s="1">
        <f>+U26</f>
        <v>532</v>
      </c>
      <c r="K26" s="1">
        <v>547</v>
      </c>
      <c r="L26" s="1">
        <v>556</v>
      </c>
      <c r="M26" s="20">
        <v>563</v>
      </c>
      <c r="N26" s="20">
        <f>+M26</f>
        <v>563</v>
      </c>
      <c r="S26" s="1">
        <v>290</v>
      </c>
      <c r="T26" s="1">
        <v>512</v>
      </c>
      <c r="U26" s="1">
        <v>532</v>
      </c>
      <c r="V26" s="20">
        <f>+N26</f>
        <v>563</v>
      </c>
    </row>
    <row r="28" spans="2:22" s="22" customFormat="1">
      <c r="B28" s="22" t="s">
        <v>64</v>
      </c>
      <c r="C28" s="22">
        <f>+C13/C7</f>
        <v>0.16635514018691588</v>
      </c>
      <c r="D28" s="22">
        <f>+D13/D7</f>
        <v>0.16740740740740739</v>
      </c>
      <c r="E28" s="22">
        <f>+E13/E7</f>
        <v>0.20079787234042554</v>
      </c>
      <c r="F28" s="22">
        <f t="shared" ref="F28" si="27">+F13/F7</f>
        <v>0.20546163849154747</v>
      </c>
      <c r="G28" s="22">
        <f t="shared" ref="G28:L28" si="28">+G13/G7</f>
        <v>0.21245421245421245</v>
      </c>
      <c r="H28" s="22">
        <f t="shared" si="28"/>
        <v>0.21267893660531698</v>
      </c>
      <c r="I28" s="22">
        <f t="shared" si="28"/>
        <v>0.2189922480620155</v>
      </c>
      <c r="J28" s="22">
        <f t="shared" si="28"/>
        <v>0.21814671814671815</v>
      </c>
      <c r="K28" s="22">
        <f t="shared" si="28"/>
        <v>0.23162790697674418</v>
      </c>
      <c r="L28" s="22">
        <f t="shared" si="28"/>
        <v>0.23027375201288244</v>
      </c>
      <c r="M28" s="22">
        <f t="shared" ref="M28" si="29">+M13/M7</f>
        <v>0.24674329501915709</v>
      </c>
      <c r="N28" s="41">
        <v>0.24</v>
      </c>
      <c r="S28" s="22">
        <f>+S13/S7</f>
        <v>0.1841642228739003</v>
      </c>
      <c r="T28" s="22">
        <f>+T13/T7</f>
        <v>0.18711094837056022</v>
      </c>
      <c r="U28" s="22">
        <f>+U13/U7</f>
        <v>0.21578266494178525</v>
      </c>
      <c r="V28" s="41">
        <f>+V13/V7</f>
        <v>0.23763299922898995</v>
      </c>
    </row>
    <row r="29" spans="2:22" s="22" customFormat="1">
      <c r="B29" s="22" t="s">
        <v>65</v>
      </c>
      <c r="C29" s="22">
        <f>+C18/C7</f>
        <v>-0.18878504672897195</v>
      </c>
      <c r="D29" s="22">
        <f>+D18/D7</f>
        <v>-0.14666666666666667</v>
      </c>
      <c r="E29" s="22">
        <f>+E18/E7</f>
        <v>-0.11303191489361702</v>
      </c>
      <c r="F29" s="22">
        <f t="shared" ref="F29" si="30">+F18/F7</f>
        <v>-0.12873862158647595</v>
      </c>
      <c r="G29" s="22">
        <f t="shared" ref="G29:L29" si="31">+G18/G7</f>
        <v>-0.11233211233211234</v>
      </c>
      <c r="H29" s="22">
        <f t="shared" si="31"/>
        <v>-8.1799591002044994E-2</v>
      </c>
      <c r="I29" s="22">
        <f t="shared" si="31"/>
        <v>-5.7170542635658912E-2</v>
      </c>
      <c r="J29" s="22">
        <f t="shared" si="31"/>
        <v>-5.4054054054054057E-2</v>
      </c>
      <c r="K29" s="22">
        <f t="shared" si="31"/>
        <v>-5.2093023255813956E-2</v>
      </c>
      <c r="L29" s="22">
        <f t="shared" si="31"/>
        <v>4.0257648953301124E-3</v>
      </c>
      <c r="M29" s="22">
        <f t="shared" ref="M29" si="32">+M18/M7</f>
        <v>2.6053639846743294E-2</v>
      </c>
      <c r="N29" s="41"/>
      <c r="S29" s="22">
        <f>+S18/S7</f>
        <v>-0.13372434017595308</v>
      </c>
      <c r="T29" s="22">
        <f>+T18/T7</f>
        <v>-0.14060783595752471</v>
      </c>
      <c r="U29" s="22">
        <f>+U18/U7</f>
        <v>-7.4256144890038817E-2</v>
      </c>
      <c r="V29" s="41">
        <f>+V18/V7</f>
        <v>8.9090208172706194E-3</v>
      </c>
    </row>
    <row r="30" spans="2:22" s="22" customFormat="1">
      <c r="B30" s="22" t="s">
        <v>66</v>
      </c>
      <c r="C30" s="22">
        <f>+C24/C7</f>
        <v>-4.2990654205607479E-2</v>
      </c>
      <c r="D30" s="22">
        <f>+D24/D7</f>
        <v>-0.08</v>
      </c>
      <c r="E30" s="22">
        <f>+E24/E7</f>
        <v>-0.13031914893617022</v>
      </c>
      <c r="F30" s="22">
        <f t="shared" ref="F30" si="33">+F24/F7</f>
        <v>-0.13003901170351106</v>
      </c>
      <c r="G30" s="22">
        <f t="shared" ref="G30:L30" si="34">+G24/G7</f>
        <v>-9.8901098901098897E-2</v>
      </c>
      <c r="H30" s="22">
        <f t="shared" si="34"/>
        <v>-0.10020449897750511</v>
      </c>
      <c r="I30" s="22">
        <f t="shared" si="34"/>
        <v>-3.0038759689922482E-2</v>
      </c>
      <c r="J30" s="22">
        <f t="shared" si="34"/>
        <v>-3.4749034749034749E-2</v>
      </c>
      <c r="K30" s="22">
        <f t="shared" si="34"/>
        <v>-7.7209302325581389E-2</v>
      </c>
      <c r="L30" s="22">
        <f t="shared" si="34"/>
        <v>1.1272141706924315E-2</v>
      </c>
      <c r="M30" s="22">
        <f t="shared" ref="M30" si="35">+M24/M7</f>
        <v>4.2911877394636012E-2</v>
      </c>
      <c r="N30" s="41"/>
      <c r="S30" s="22">
        <f>+S24/S7</f>
        <v>-0.28563049853372435</v>
      </c>
      <c r="T30" s="22">
        <f>+T24/T7</f>
        <v>-0.10069571585499817</v>
      </c>
      <c r="U30" s="22">
        <f>+U24/U7</f>
        <v>-6.3648124191461833E-2</v>
      </c>
      <c r="V30" s="41">
        <f>+V24/V7</f>
        <v>1.0900796710357229E-2</v>
      </c>
    </row>
    <row r="31" spans="2:22" s="22" customFormat="1">
      <c r="B31" s="22" t="s">
        <v>67</v>
      </c>
      <c r="C31" s="22">
        <f>+C23/C22</f>
        <v>0</v>
      </c>
      <c r="D31" s="22">
        <f>+D23/D22</f>
        <v>0</v>
      </c>
      <c r="E31" s="22">
        <f>+E23/E22</f>
        <v>3.9215686274509803E-2</v>
      </c>
      <c r="F31" s="22">
        <f t="shared" ref="F31" si="36">+F23/F22</f>
        <v>-2.0408163265306121E-2</v>
      </c>
      <c r="G31" s="22">
        <f t="shared" ref="G31:L31" si="37">+G23/G22</f>
        <v>0</v>
      </c>
      <c r="H31" s="22">
        <f t="shared" si="37"/>
        <v>-1.0309278350515464E-2</v>
      </c>
      <c r="I31" s="22">
        <f t="shared" si="37"/>
        <v>0</v>
      </c>
      <c r="J31" s="22">
        <f t="shared" si="37"/>
        <v>-2.8571428571428571E-2</v>
      </c>
      <c r="K31" s="22">
        <f t="shared" si="37"/>
        <v>-1.2195121951219513E-2</v>
      </c>
      <c r="L31" s="22">
        <f t="shared" si="37"/>
        <v>0</v>
      </c>
      <c r="M31" s="22">
        <f t="shared" ref="M31" si="38">+M23/M22</f>
        <v>1.7543859649122806E-2</v>
      </c>
      <c r="N31" s="41"/>
      <c r="S31" s="22">
        <f>+S23/S22</f>
        <v>6.1224489795918364E-3</v>
      </c>
      <c r="T31" s="22">
        <f>+T23/T22</f>
        <v>7.2202166064981952E-3</v>
      </c>
      <c r="U31" s="22">
        <f>+U23/U22</f>
        <v>-8.1967213114754103E-3</v>
      </c>
      <c r="V31" s="41">
        <f>+V23/V22</f>
        <v>3.4156893999772307E-2</v>
      </c>
    </row>
    <row r="32" spans="2:22" s="22" customFormat="1">
      <c r="M32" s="41"/>
      <c r="N32" s="41"/>
      <c r="V32" s="41"/>
    </row>
    <row r="33" spans="2:23" s="23" customFormat="1">
      <c r="B33" s="23" t="s">
        <v>68</v>
      </c>
      <c r="C33" s="50" t="s">
        <v>116</v>
      </c>
      <c r="D33" s="50" t="s">
        <v>116</v>
      </c>
      <c r="E33" s="50" t="s">
        <v>116</v>
      </c>
      <c r="F33" s="50" t="s">
        <v>116</v>
      </c>
      <c r="G33" s="23">
        <f t="shared" ref="G33:M33" si="39">+G7/C7-1</f>
        <v>0.53084112149532703</v>
      </c>
      <c r="H33" s="23">
        <f t="shared" si="39"/>
        <v>0.44888888888888889</v>
      </c>
      <c r="I33" s="23">
        <f t="shared" si="39"/>
        <v>0.37234042553191493</v>
      </c>
      <c r="J33" s="23">
        <f t="shared" si="39"/>
        <v>0.3472041612483745</v>
      </c>
      <c r="K33" s="23">
        <f t="shared" si="39"/>
        <v>0.31257631257631258</v>
      </c>
      <c r="L33" s="23">
        <f t="shared" si="39"/>
        <v>0.26993865030674846</v>
      </c>
      <c r="M33" s="23">
        <f t="shared" si="39"/>
        <v>0.26453488372093026</v>
      </c>
      <c r="N33" s="42">
        <v>0.2</v>
      </c>
      <c r="S33" s="9" t="s">
        <v>116</v>
      </c>
      <c r="T33" s="23">
        <f>+T7/S7-1</f>
        <v>0.6017595307917889</v>
      </c>
      <c r="U33" s="23">
        <f>+U7/T7-1</f>
        <v>0.41523251556206509</v>
      </c>
      <c r="V33" s="42">
        <f>+V7/U7-1</f>
        <v>0.34230271668822776</v>
      </c>
    </row>
    <row r="34" spans="2:23">
      <c r="B34" s="1" t="s">
        <v>69</v>
      </c>
      <c r="C34" s="9" t="s">
        <v>116</v>
      </c>
      <c r="D34" s="22">
        <f>+D7/C7-1</f>
        <v>0.26168224299065423</v>
      </c>
      <c r="E34" s="22">
        <f>+E7/D7-1</f>
        <v>0.11407407407407399</v>
      </c>
      <c r="F34" s="22">
        <f t="shared" ref="F34:G34" si="40">+F7/E7-1</f>
        <v>2.2606382978723305E-2</v>
      </c>
      <c r="G34" s="22">
        <f t="shared" si="40"/>
        <v>6.5019505851755532E-2</v>
      </c>
      <c r="H34" s="22">
        <f t="shared" ref="H34:M34" si="41">+H7/G7-1</f>
        <v>0.19413919413919412</v>
      </c>
      <c r="I34" s="22">
        <f t="shared" si="41"/>
        <v>5.5214723926380271E-2</v>
      </c>
      <c r="J34" s="22">
        <f t="shared" si="41"/>
        <v>3.8759689922480689E-3</v>
      </c>
      <c r="K34" s="22">
        <f t="shared" si="41"/>
        <v>3.7644787644787625E-2</v>
      </c>
      <c r="L34" s="22">
        <f t="shared" si="41"/>
        <v>0.15534883720930237</v>
      </c>
      <c r="M34" s="22">
        <f t="shared" si="41"/>
        <v>5.0724637681159424E-2</v>
      </c>
      <c r="S34" s="9" t="s">
        <v>116</v>
      </c>
      <c r="T34" s="9" t="s">
        <v>116</v>
      </c>
      <c r="U34" s="9" t="s">
        <v>116</v>
      </c>
    </row>
    <row r="36" spans="2:23">
      <c r="B36" s="24" t="s">
        <v>117</v>
      </c>
    </row>
    <row r="37" spans="2:23" s="18" customFormat="1">
      <c r="B37" s="18" t="s">
        <v>118</v>
      </c>
      <c r="F37" s="18">
        <v>4500</v>
      </c>
      <c r="J37" s="18">
        <f>U37</f>
        <v>5500</v>
      </c>
      <c r="M37" s="29"/>
      <c r="N37" s="29"/>
      <c r="S37" s="18">
        <v>3172</v>
      </c>
      <c r="T37" s="18">
        <v>4500</v>
      </c>
      <c r="U37" s="18">
        <v>5500</v>
      </c>
      <c r="V37" s="29"/>
      <c r="W37" s="21"/>
    </row>
    <row r="38" spans="2:23" s="51" customFormat="1">
      <c r="B38" s="47" t="s">
        <v>137</v>
      </c>
      <c r="J38" s="51">
        <f>J37/F37-1</f>
        <v>0.22222222222222232</v>
      </c>
      <c r="M38" s="52"/>
      <c r="N38" s="52"/>
      <c r="T38" s="51">
        <f>T37/S37-1</f>
        <v>0.41866330390920559</v>
      </c>
      <c r="U38" s="51">
        <f>U37/T37-1</f>
        <v>0.22222222222222232</v>
      </c>
      <c r="V38" s="52"/>
    </row>
    <row r="39" spans="2:23" s="18" customFormat="1">
      <c r="B39" s="18" t="s">
        <v>129</v>
      </c>
      <c r="M39" s="29">
        <v>127000</v>
      </c>
      <c r="N39" s="29"/>
      <c r="S39" s="18">
        <v>57000</v>
      </c>
      <c r="T39" s="18">
        <v>79000</v>
      </c>
      <c r="U39" s="18">
        <v>106000</v>
      </c>
      <c r="V39" s="29"/>
      <c r="W39" s="21"/>
    </row>
    <row r="40" spans="2:23" s="18" customFormat="1">
      <c r="B40" s="47" t="s">
        <v>138</v>
      </c>
      <c r="M40" s="29"/>
      <c r="N40" s="29"/>
      <c r="T40" s="51">
        <f>T39/S39-1</f>
        <v>0.38596491228070184</v>
      </c>
      <c r="U40" s="51">
        <f>U39/T39-1</f>
        <v>0.34177215189873422</v>
      </c>
      <c r="V40" s="29"/>
      <c r="W40" s="21"/>
    </row>
    <row r="41" spans="2:23" s="18" customFormat="1">
      <c r="B41" s="18" t="s">
        <v>131</v>
      </c>
      <c r="C41" s="18">
        <v>17.8</v>
      </c>
      <c r="D41" s="18">
        <v>23.3</v>
      </c>
      <c r="E41" s="18">
        <v>25.2</v>
      </c>
      <c r="F41" s="18">
        <f>T41-SUM(C41:E41)</f>
        <v>25.400000000000006</v>
      </c>
      <c r="G41" s="18">
        <v>26.7</v>
      </c>
      <c r="H41" s="18">
        <v>32.1</v>
      </c>
      <c r="I41" s="18">
        <v>33.700000000000003</v>
      </c>
      <c r="J41" s="18">
        <f>U41-SUM(G41:I41)</f>
        <v>33.599999999999994</v>
      </c>
      <c r="K41" s="18">
        <f>75.2-L41</f>
        <v>34.700000000000003</v>
      </c>
      <c r="L41" s="18">
        <v>40.5</v>
      </c>
      <c r="M41" s="29">
        <v>41.7</v>
      </c>
      <c r="N41" s="29"/>
      <c r="Q41" s="18">
        <v>21.8</v>
      </c>
      <c r="R41" s="18">
        <v>25.4</v>
      </c>
      <c r="S41" s="18">
        <v>57</v>
      </c>
      <c r="T41" s="18">
        <v>91.7</v>
      </c>
      <c r="U41" s="18">
        <v>126.1</v>
      </c>
      <c r="V41" s="29"/>
      <c r="W41" s="21"/>
    </row>
    <row r="42" spans="2:23" s="47" customFormat="1">
      <c r="B42" s="47" t="s">
        <v>133</v>
      </c>
      <c r="G42" s="47">
        <f t="shared" ref="G42:M42" si="42">G41/C41-1</f>
        <v>0.5</v>
      </c>
      <c r="H42" s="47">
        <f t="shared" si="42"/>
        <v>0.37768240343347648</v>
      </c>
      <c r="I42" s="47">
        <f t="shared" si="42"/>
        <v>0.33730158730158744</v>
      </c>
      <c r="J42" s="47">
        <f t="shared" si="42"/>
        <v>0.32283464566929077</v>
      </c>
      <c r="K42" s="47">
        <f t="shared" si="42"/>
        <v>0.29962546816479407</v>
      </c>
      <c r="L42" s="47">
        <f t="shared" si="42"/>
        <v>0.26168224299065423</v>
      </c>
      <c r="M42" s="47">
        <f t="shared" si="42"/>
        <v>0.23738872403560829</v>
      </c>
      <c r="Q42" s="52" t="s">
        <v>116</v>
      </c>
      <c r="R42" s="47">
        <f t="shared" ref="R42:T42" si="43">R41/Q41-1</f>
        <v>0.16513761467889898</v>
      </c>
      <c r="S42" s="47">
        <f t="shared" si="43"/>
        <v>1.2440944881889764</v>
      </c>
      <c r="T42" s="47">
        <f t="shared" si="43"/>
        <v>0.60877192982456152</v>
      </c>
      <c r="U42" s="47">
        <f>U41/T41-1</f>
        <v>0.37513631406761161</v>
      </c>
    </row>
    <row r="43" spans="2:23" s="18" customFormat="1">
      <c r="B43" s="18" t="s">
        <v>132</v>
      </c>
      <c r="C43" s="18">
        <v>637</v>
      </c>
      <c r="D43" s="18">
        <v>787</v>
      </c>
      <c r="E43" s="18">
        <v>868</v>
      </c>
      <c r="F43" s="18">
        <f>T43</f>
        <v>901</v>
      </c>
      <c r="G43" s="18">
        <v>987</v>
      </c>
      <c r="H43" s="18">
        <v>1140</v>
      </c>
      <c r="I43" s="18">
        <v>1218</v>
      </c>
      <c r="J43" s="18">
        <f>U43</f>
        <v>1218</v>
      </c>
      <c r="L43" s="18">
        <v>1473</v>
      </c>
      <c r="M43" s="29">
        <v>1554</v>
      </c>
      <c r="N43" s="29"/>
      <c r="Q43" s="18">
        <v>184</v>
      </c>
      <c r="R43" s="18">
        <v>326</v>
      </c>
      <c r="S43" s="18">
        <v>568</v>
      </c>
      <c r="T43" s="18">
        <v>901</v>
      </c>
      <c r="U43" s="18">
        <v>1218</v>
      </c>
      <c r="V43" s="29"/>
      <c r="W43" s="21"/>
    </row>
    <row r="44" spans="2:23" s="47" customFormat="1">
      <c r="B44" s="47" t="s">
        <v>134</v>
      </c>
      <c r="G44" s="47">
        <f>G43/C43-1</f>
        <v>0.5494505494505495</v>
      </c>
      <c r="H44" s="47">
        <f>H43/D43-1</f>
        <v>0.44853875476493021</v>
      </c>
      <c r="I44" s="47">
        <f>I43/E43-1</f>
        <v>0.40322580645161299</v>
      </c>
      <c r="J44" s="47">
        <f>J43/F43-1</f>
        <v>0.35183129855715878</v>
      </c>
      <c r="L44" s="47">
        <f>L43/H43-1</f>
        <v>0.29210526315789465</v>
      </c>
      <c r="M44" s="47">
        <f>M43/I43-1</f>
        <v>0.27586206896551735</v>
      </c>
      <c r="Q44" s="52" t="s">
        <v>116</v>
      </c>
      <c r="R44" s="47">
        <f>R43/Q43-1</f>
        <v>0.77173913043478271</v>
      </c>
      <c r="S44" s="47">
        <f>S43/R43-1</f>
        <v>0.74233128834355822</v>
      </c>
      <c r="T44" s="47">
        <f>T43/S43-1</f>
        <v>0.58626760563380276</v>
      </c>
      <c r="U44" s="47">
        <f>U43/T43-1</f>
        <v>0.35183129855715878</v>
      </c>
    </row>
    <row r="45" spans="2:23" s="22" customFormat="1">
      <c r="B45" s="22" t="s">
        <v>135</v>
      </c>
      <c r="M45" s="41"/>
      <c r="N45" s="41"/>
      <c r="Q45" s="22">
        <v>1.1000000000000001</v>
      </c>
      <c r="R45" s="22">
        <v>1.1399999999999999</v>
      </c>
      <c r="S45" s="22">
        <v>1.35</v>
      </c>
      <c r="T45" s="22">
        <v>1.18</v>
      </c>
      <c r="U45" s="22">
        <v>1.1100000000000001</v>
      </c>
      <c r="V45" s="41"/>
    </row>
    <row r="46" spans="2:23" s="48" customFormat="1">
      <c r="B46" s="47" t="s">
        <v>136</v>
      </c>
      <c r="M46" s="47"/>
      <c r="N46" s="47"/>
      <c r="Q46" s="52" t="s">
        <v>116</v>
      </c>
      <c r="R46" s="48">
        <f t="shared" ref="R46:T46" si="44">R45/Q45-1</f>
        <v>3.6363636363636154E-2</v>
      </c>
      <c r="S46" s="48">
        <f t="shared" si="44"/>
        <v>0.1842105263157896</v>
      </c>
      <c r="T46" s="48">
        <f t="shared" si="44"/>
        <v>-0.125925925925926</v>
      </c>
      <c r="U46" s="48">
        <f>U45/T45-1</f>
        <v>-5.9322033898304927E-2</v>
      </c>
      <c r="V46" s="47"/>
    </row>
    <row r="48" spans="2:23">
      <c r="B48" s="24" t="s">
        <v>70</v>
      </c>
    </row>
    <row r="49" spans="2:22" s="25" customFormat="1">
      <c r="B49" s="25" t="s">
        <v>6</v>
      </c>
      <c r="E49" s="25">
        <v>644</v>
      </c>
      <c r="F49" s="25">
        <v>547</v>
      </c>
      <c r="G49" s="25">
        <v>451</v>
      </c>
      <c r="H49" s="25">
        <v>488</v>
      </c>
      <c r="I49" s="25">
        <v>514</v>
      </c>
      <c r="J49" s="25">
        <v>605</v>
      </c>
      <c r="K49" s="25">
        <v>578</v>
      </c>
      <c r="L49" s="25">
        <v>691</v>
      </c>
      <c r="M49" s="25">
        <v>761</v>
      </c>
      <c r="N49" s="39"/>
      <c r="T49" s="25">
        <v>547</v>
      </c>
      <c r="U49" s="25">
        <v>605</v>
      </c>
      <c r="V49" s="39"/>
    </row>
    <row r="50" spans="2:22" s="25" customFormat="1">
      <c r="B50" s="25" t="s">
        <v>71</v>
      </c>
      <c r="E50" s="25">
        <v>409</v>
      </c>
      <c r="F50" s="25">
        <v>474</v>
      </c>
      <c r="G50" s="25">
        <v>499</v>
      </c>
      <c r="H50" s="25">
        <v>502</v>
      </c>
      <c r="I50" s="25">
        <v>516</v>
      </c>
      <c r="J50" s="25">
        <v>519</v>
      </c>
      <c r="K50" s="25">
        <v>537</v>
      </c>
      <c r="L50" s="25">
        <v>528</v>
      </c>
      <c r="M50" s="25">
        <v>511</v>
      </c>
      <c r="N50" s="39"/>
      <c r="T50" s="25">
        <v>474</v>
      </c>
      <c r="U50" s="25">
        <v>519</v>
      </c>
      <c r="V50" s="39"/>
    </row>
    <row r="51" spans="2:22" s="18" customFormat="1">
      <c r="B51" s="18" t="s">
        <v>72</v>
      </c>
      <c r="E51" s="18">
        <v>78</v>
      </c>
      <c r="F51" s="18">
        <v>77</v>
      </c>
      <c r="G51" s="18">
        <v>97</v>
      </c>
      <c r="H51" s="18">
        <v>115</v>
      </c>
      <c r="I51" s="18">
        <v>95</v>
      </c>
      <c r="J51" s="18">
        <v>69</v>
      </c>
      <c r="K51" s="18">
        <v>86</v>
      </c>
      <c r="L51" s="18">
        <v>101</v>
      </c>
      <c r="M51" s="18">
        <v>105</v>
      </c>
      <c r="N51" s="29"/>
      <c r="T51" s="18">
        <v>77</v>
      </c>
      <c r="U51" s="18">
        <v>69</v>
      </c>
      <c r="V51" s="29"/>
    </row>
    <row r="52" spans="2:22" s="18" customFormat="1">
      <c r="B52" s="18" t="s">
        <v>73</v>
      </c>
      <c r="E52" s="18">
        <v>95</v>
      </c>
      <c r="F52" s="18">
        <v>110</v>
      </c>
      <c r="G52" s="18">
        <v>112</v>
      </c>
      <c r="H52" s="18">
        <v>107</v>
      </c>
      <c r="I52" s="18">
        <v>98</v>
      </c>
      <c r="J52" s="18">
        <v>118</v>
      </c>
      <c r="K52" s="18">
        <v>120</v>
      </c>
      <c r="L52" s="18">
        <v>110</v>
      </c>
      <c r="M52" s="18">
        <v>106</v>
      </c>
      <c r="N52" s="29"/>
      <c r="T52" s="18">
        <v>110</v>
      </c>
      <c r="U52" s="18">
        <v>118</v>
      </c>
      <c r="V52" s="29"/>
    </row>
    <row r="53" spans="2:22" s="18" customFormat="1">
      <c r="B53" s="18" t="s">
        <v>74</v>
      </c>
      <c r="E53" s="18">
        <f>40+136</f>
        <v>176</v>
      </c>
      <c r="F53" s="18">
        <f>44+155</f>
        <v>199</v>
      </c>
      <c r="G53" s="18">
        <f>47+202</f>
        <v>249</v>
      </c>
      <c r="H53" s="18">
        <f>52+191</f>
        <v>243</v>
      </c>
      <c r="I53" s="18">
        <f>56+201</f>
        <v>257</v>
      </c>
      <c r="J53" s="18">
        <v>259</v>
      </c>
      <c r="K53" s="18">
        <v>330</v>
      </c>
      <c r="L53" s="18">
        <v>309</v>
      </c>
      <c r="M53" s="18">
        <v>319</v>
      </c>
      <c r="N53" s="29"/>
      <c r="T53" s="18">
        <v>199</v>
      </c>
      <c r="U53" s="18">
        <v>259</v>
      </c>
      <c r="V53" s="29"/>
    </row>
    <row r="54" spans="2:22" s="18" customFormat="1">
      <c r="B54" s="18" t="s">
        <v>75</v>
      </c>
      <c r="C54" s="18">
        <f t="shared" ref="C54:K54" si="45">+SUM(C49:C53)</f>
        <v>0</v>
      </c>
      <c r="D54" s="18">
        <f t="shared" si="45"/>
        <v>0</v>
      </c>
      <c r="E54" s="18">
        <f t="shared" si="45"/>
        <v>1402</v>
      </c>
      <c r="F54" s="18">
        <f t="shared" si="45"/>
        <v>1407</v>
      </c>
      <c r="G54" s="18">
        <f t="shared" si="45"/>
        <v>1408</v>
      </c>
      <c r="H54" s="18">
        <f t="shared" si="45"/>
        <v>1455</v>
      </c>
      <c r="I54" s="18">
        <f t="shared" si="45"/>
        <v>1480</v>
      </c>
      <c r="J54" s="18">
        <f t="shared" si="45"/>
        <v>1570</v>
      </c>
      <c r="K54" s="18">
        <f t="shared" si="45"/>
        <v>1651</v>
      </c>
      <c r="L54" s="18">
        <f>+SUM(L49:L53)</f>
        <v>1739</v>
      </c>
      <c r="M54" s="18">
        <f t="shared" ref="M54" si="46">+SUM(M49:M53)</f>
        <v>1802</v>
      </c>
      <c r="N54" s="29"/>
      <c r="R54" s="18">
        <f t="shared" ref="R54:U54" si="47">+SUM(R49:R53)</f>
        <v>0</v>
      </c>
      <c r="S54" s="18">
        <f t="shared" si="47"/>
        <v>0</v>
      </c>
      <c r="T54" s="18">
        <f t="shared" si="47"/>
        <v>1407</v>
      </c>
      <c r="U54" s="18">
        <f t="shared" si="47"/>
        <v>1570</v>
      </c>
      <c r="V54" s="29"/>
    </row>
    <row r="55" spans="2:22" s="18" customFormat="1">
      <c r="B55" s="18" t="s">
        <v>76</v>
      </c>
      <c r="E55" s="18">
        <v>54</v>
      </c>
      <c r="F55" s="18">
        <v>61</v>
      </c>
      <c r="G55" s="18">
        <v>70</v>
      </c>
      <c r="H55" s="18">
        <v>61</v>
      </c>
      <c r="I55" s="18">
        <v>69</v>
      </c>
      <c r="J55" s="18">
        <v>75</v>
      </c>
      <c r="K55" s="18">
        <v>82</v>
      </c>
      <c r="L55" s="18">
        <v>90</v>
      </c>
      <c r="M55" s="18">
        <v>95</v>
      </c>
      <c r="N55" s="29"/>
      <c r="T55" s="18">
        <v>61</v>
      </c>
      <c r="U55" s="18">
        <v>75</v>
      </c>
      <c r="V55" s="29"/>
    </row>
    <row r="56" spans="2:22" s="18" customFormat="1">
      <c r="B56" s="18" t="s">
        <v>77</v>
      </c>
      <c r="E56" s="18">
        <v>74</v>
      </c>
      <c r="F56" s="18">
        <v>77</v>
      </c>
      <c r="G56" s="18">
        <v>75</v>
      </c>
      <c r="H56" s="18">
        <v>25</v>
      </c>
      <c r="I56" s="18">
        <v>23</v>
      </c>
      <c r="J56" s="18">
        <v>36</v>
      </c>
      <c r="K56" s="18">
        <v>34</v>
      </c>
      <c r="L56" s="18">
        <v>33</v>
      </c>
      <c r="M56" s="18">
        <v>31</v>
      </c>
      <c r="N56" s="29"/>
      <c r="T56" s="18">
        <v>77</v>
      </c>
      <c r="U56" s="18">
        <v>36</v>
      </c>
      <c r="V56" s="29"/>
    </row>
    <row r="57" spans="2:22" s="18" customFormat="1">
      <c r="B57" s="18" t="s">
        <v>78</v>
      </c>
      <c r="E57" s="18">
        <f>31+107</f>
        <v>138</v>
      </c>
      <c r="F57" s="18">
        <f>29+107</f>
        <v>136</v>
      </c>
      <c r="G57" s="18">
        <f>31+113</f>
        <v>144</v>
      </c>
      <c r="H57" s="18">
        <f>30+113</f>
        <v>143</v>
      </c>
      <c r="I57" s="18">
        <f>28+113</f>
        <v>141</v>
      </c>
      <c r="J57" s="18">
        <f>26+113</f>
        <v>139</v>
      </c>
      <c r="K57" s="18">
        <f>25+113</f>
        <v>138</v>
      </c>
      <c r="L57" s="18">
        <f>23+113</f>
        <v>136</v>
      </c>
      <c r="M57" s="18">
        <f>22+113</f>
        <v>135</v>
      </c>
      <c r="N57" s="29"/>
      <c r="T57" s="18">
        <f>29+107</f>
        <v>136</v>
      </c>
      <c r="U57" s="18">
        <f>26+113</f>
        <v>139</v>
      </c>
      <c r="V57" s="29"/>
    </row>
    <row r="58" spans="2:22" s="18" customFormat="1">
      <c r="B58" s="18" t="s">
        <v>79</v>
      </c>
      <c r="E58" s="18">
        <v>0</v>
      </c>
      <c r="F58" s="18">
        <v>28</v>
      </c>
      <c r="G58" s="18">
        <v>36</v>
      </c>
      <c r="H58" s="18">
        <v>43</v>
      </c>
      <c r="I58" s="18">
        <v>49</v>
      </c>
      <c r="J58" s="18">
        <v>55</v>
      </c>
      <c r="K58" s="18">
        <v>57</v>
      </c>
      <c r="L58" s="18">
        <v>58</v>
      </c>
      <c r="M58" s="18">
        <v>56</v>
      </c>
      <c r="N58" s="29"/>
      <c r="T58" s="18">
        <v>28</v>
      </c>
      <c r="U58" s="18">
        <v>55</v>
      </c>
      <c r="V58" s="29"/>
    </row>
    <row r="59" spans="2:22" s="18" customFormat="1">
      <c r="B59" s="18" t="s">
        <v>80</v>
      </c>
      <c r="E59" s="18">
        <f>36+37</f>
        <v>73</v>
      </c>
      <c r="F59" s="18">
        <f>38+14</f>
        <v>52</v>
      </c>
      <c r="G59" s="18">
        <f>44+18</f>
        <v>62</v>
      </c>
      <c r="H59" s="18">
        <f>52+16</f>
        <v>68</v>
      </c>
      <c r="I59" s="18">
        <f>59+13</f>
        <v>72</v>
      </c>
      <c r="J59" s="18">
        <v>83</v>
      </c>
      <c r="K59" s="18">
        <v>90</v>
      </c>
      <c r="L59" s="18">
        <v>99</v>
      </c>
      <c r="M59" s="18">
        <v>108</v>
      </c>
      <c r="N59" s="29"/>
      <c r="T59" s="18">
        <v>52</v>
      </c>
      <c r="U59" s="18">
        <v>83</v>
      </c>
      <c r="V59" s="29"/>
    </row>
    <row r="60" spans="2:22" s="18" customFormat="1">
      <c r="B60" s="18" t="s">
        <v>81</v>
      </c>
      <c r="C60" s="18">
        <f t="shared" ref="C60:K60" si="48">+SUM(C55:C59)</f>
        <v>0</v>
      </c>
      <c r="D60" s="18">
        <f t="shared" si="48"/>
        <v>0</v>
      </c>
      <c r="E60" s="18">
        <f t="shared" si="48"/>
        <v>339</v>
      </c>
      <c r="F60" s="18">
        <f t="shared" si="48"/>
        <v>354</v>
      </c>
      <c r="G60" s="18">
        <f t="shared" si="48"/>
        <v>387</v>
      </c>
      <c r="H60" s="18">
        <f t="shared" si="48"/>
        <v>340</v>
      </c>
      <c r="I60" s="18">
        <f t="shared" si="48"/>
        <v>354</v>
      </c>
      <c r="J60" s="18">
        <f t="shared" si="48"/>
        <v>388</v>
      </c>
      <c r="K60" s="18">
        <f t="shared" si="48"/>
        <v>401</v>
      </c>
      <c r="L60" s="18">
        <f>+SUM(L55:L59)</f>
        <v>416</v>
      </c>
      <c r="M60" s="18">
        <f>+SUM(M55:M59)</f>
        <v>425</v>
      </c>
      <c r="N60" s="29"/>
      <c r="R60" s="18">
        <f t="shared" ref="R60:U60" si="49">+SUM(R55:R59)</f>
        <v>0</v>
      </c>
      <c r="S60" s="18">
        <f t="shared" si="49"/>
        <v>0</v>
      </c>
      <c r="T60" s="18">
        <f t="shared" si="49"/>
        <v>354</v>
      </c>
      <c r="U60" s="18">
        <f t="shared" si="49"/>
        <v>388</v>
      </c>
      <c r="V60" s="29"/>
    </row>
    <row r="61" spans="2:22" s="18" customFormat="1">
      <c r="B61" s="18" t="s">
        <v>82</v>
      </c>
      <c r="C61" s="18">
        <f t="shared" ref="C61:K61" si="50">+C54+C60</f>
        <v>0</v>
      </c>
      <c r="D61" s="18">
        <f t="shared" si="50"/>
        <v>0</v>
      </c>
      <c r="E61" s="18">
        <f t="shared" si="50"/>
        <v>1741</v>
      </c>
      <c r="F61" s="18">
        <f t="shared" si="50"/>
        <v>1761</v>
      </c>
      <c r="G61" s="18">
        <f t="shared" si="50"/>
        <v>1795</v>
      </c>
      <c r="H61" s="18">
        <f t="shared" si="50"/>
        <v>1795</v>
      </c>
      <c r="I61" s="18">
        <f t="shared" si="50"/>
        <v>1834</v>
      </c>
      <c r="J61" s="18">
        <f t="shared" si="50"/>
        <v>1958</v>
      </c>
      <c r="K61" s="18">
        <f t="shared" si="50"/>
        <v>2052</v>
      </c>
      <c r="L61" s="18">
        <f>+L54+L60</f>
        <v>2155</v>
      </c>
      <c r="M61" s="18">
        <f t="shared" ref="M61" si="51">+M54+M60</f>
        <v>2227</v>
      </c>
      <c r="N61" s="29"/>
      <c r="R61" s="18">
        <f t="shared" ref="R61:U61" si="52">+R54+R60</f>
        <v>0</v>
      </c>
      <c r="S61" s="18">
        <f t="shared" si="52"/>
        <v>0</v>
      </c>
      <c r="T61" s="18">
        <f t="shared" si="52"/>
        <v>1761</v>
      </c>
      <c r="U61" s="18">
        <f t="shared" si="52"/>
        <v>1958</v>
      </c>
      <c r="V61" s="29"/>
    </row>
    <row r="62" spans="2:22" s="18" customFormat="1">
      <c r="N62" s="29"/>
      <c r="V62" s="29"/>
    </row>
    <row r="63" spans="2:22" s="18" customFormat="1">
      <c r="B63" s="18" t="s">
        <v>83</v>
      </c>
      <c r="E63" s="18">
        <v>28</v>
      </c>
      <c r="F63" s="18">
        <v>30</v>
      </c>
      <c r="G63" s="18">
        <v>36</v>
      </c>
      <c r="H63" s="18">
        <v>42</v>
      </c>
      <c r="I63" s="18">
        <v>27</v>
      </c>
      <c r="J63" s="18">
        <v>32</v>
      </c>
      <c r="K63" s="18">
        <v>49</v>
      </c>
      <c r="L63" s="18">
        <v>33</v>
      </c>
      <c r="M63" s="18">
        <v>30</v>
      </c>
      <c r="N63" s="29"/>
      <c r="T63" s="18">
        <v>30</v>
      </c>
      <c r="U63" s="18">
        <v>32</v>
      </c>
      <c r="V63" s="29"/>
    </row>
    <row r="64" spans="2:22" s="18" customFormat="1">
      <c r="B64" s="18" t="s">
        <v>84</v>
      </c>
      <c r="E64" s="18">
        <v>40</v>
      </c>
      <c r="F64" s="18">
        <v>39</v>
      </c>
      <c r="G64" s="18">
        <v>43</v>
      </c>
      <c r="H64" s="18">
        <v>41</v>
      </c>
      <c r="I64" s="18">
        <v>38</v>
      </c>
      <c r="J64" s="18">
        <v>39</v>
      </c>
      <c r="K64" s="18">
        <v>50</v>
      </c>
      <c r="L64" s="18">
        <v>62</v>
      </c>
      <c r="M64" s="18">
        <v>62</v>
      </c>
      <c r="N64" s="29"/>
      <c r="T64" s="18">
        <v>39</v>
      </c>
      <c r="U64" s="18">
        <v>39</v>
      </c>
      <c r="V64" s="29"/>
    </row>
    <row r="65" spans="2:22" s="18" customFormat="1">
      <c r="B65" s="18" t="s">
        <v>85</v>
      </c>
      <c r="E65" s="18">
        <f>13+376</f>
        <v>389</v>
      </c>
      <c r="F65" s="18">
        <f>14+413</f>
        <v>427</v>
      </c>
      <c r="G65" s="18">
        <f>15+444</f>
        <v>459</v>
      </c>
      <c r="H65" s="18">
        <f>8+493</f>
        <v>501</v>
      </c>
      <c r="I65" s="18">
        <f>10+499</f>
        <v>509</v>
      </c>
      <c r="J65" s="18">
        <v>592</v>
      </c>
      <c r="K65" s="18">
        <v>614</v>
      </c>
      <c r="L65" s="18">
        <v>641</v>
      </c>
      <c r="M65" s="18">
        <v>656</v>
      </c>
      <c r="N65" s="29"/>
      <c r="T65" s="18">
        <v>427</v>
      </c>
      <c r="U65" s="18">
        <v>592</v>
      </c>
      <c r="V65" s="29"/>
    </row>
    <row r="66" spans="2:22" s="18" customFormat="1">
      <c r="B66" s="18" t="s">
        <v>86</v>
      </c>
      <c r="C66" s="18">
        <f t="shared" ref="C66:K66" si="53">+SUM(C63:C65)</f>
        <v>0</v>
      </c>
      <c r="D66" s="18">
        <f t="shared" si="53"/>
        <v>0</v>
      </c>
      <c r="E66" s="18">
        <f t="shared" si="53"/>
        <v>457</v>
      </c>
      <c r="F66" s="18">
        <f t="shared" si="53"/>
        <v>496</v>
      </c>
      <c r="G66" s="18">
        <f t="shared" si="53"/>
        <v>538</v>
      </c>
      <c r="H66" s="18">
        <f t="shared" si="53"/>
        <v>584</v>
      </c>
      <c r="I66" s="18">
        <f t="shared" si="53"/>
        <v>574</v>
      </c>
      <c r="J66" s="18">
        <f t="shared" si="53"/>
        <v>663</v>
      </c>
      <c r="K66" s="18">
        <f t="shared" si="53"/>
        <v>713</v>
      </c>
      <c r="L66" s="18">
        <f>+SUM(L63:L65)</f>
        <v>736</v>
      </c>
      <c r="M66" s="18">
        <f t="shared" ref="M66" si="54">+SUM(M63:M65)</f>
        <v>748</v>
      </c>
      <c r="N66" s="29"/>
      <c r="R66" s="18">
        <f t="shared" ref="R66:U66" si="55">+SUM(R63:R65)</f>
        <v>0</v>
      </c>
      <c r="S66" s="18">
        <f t="shared" si="55"/>
        <v>0</v>
      </c>
      <c r="T66" s="18">
        <f t="shared" si="55"/>
        <v>496</v>
      </c>
      <c r="U66" s="18">
        <f t="shared" si="55"/>
        <v>663</v>
      </c>
      <c r="V66" s="29"/>
    </row>
    <row r="67" spans="2:22" s="18" customFormat="1">
      <c r="B67" s="18" t="s">
        <v>87</v>
      </c>
      <c r="E67" s="18">
        <v>61</v>
      </c>
      <c r="F67" s="18">
        <v>68</v>
      </c>
      <c r="G67" s="18">
        <v>65</v>
      </c>
      <c r="H67" s="18">
        <v>90</v>
      </c>
      <c r="I67" s="18">
        <v>72</v>
      </c>
      <c r="J67" s="18">
        <v>64</v>
      </c>
      <c r="K67" s="18">
        <v>100</v>
      </c>
      <c r="L67" s="18">
        <v>101</v>
      </c>
      <c r="M67" s="18">
        <v>27</v>
      </c>
      <c r="N67" s="29"/>
      <c r="T67" s="18">
        <v>68</v>
      </c>
      <c r="U67" s="18">
        <v>64</v>
      </c>
      <c r="V67" s="29"/>
    </row>
    <row r="68" spans="2:22" s="18" customFormat="1">
      <c r="B68" s="18" t="s">
        <v>88</v>
      </c>
      <c r="E68" s="18">
        <v>81</v>
      </c>
      <c r="F68" s="18">
        <v>80</v>
      </c>
      <c r="G68" s="18">
        <v>77</v>
      </c>
      <c r="H68" s="18">
        <v>25</v>
      </c>
      <c r="I68" s="18">
        <v>22</v>
      </c>
      <c r="J68" s="18">
        <v>33</v>
      </c>
      <c r="K68" s="18">
        <v>30</v>
      </c>
      <c r="L68" s="18">
        <v>29</v>
      </c>
      <c r="M68" s="18">
        <v>27</v>
      </c>
      <c r="N68" s="29"/>
      <c r="T68" s="18">
        <v>80</v>
      </c>
      <c r="U68" s="18">
        <v>33</v>
      </c>
      <c r="V68" s="29"/>
    </row>
    <row r="69" spans="2:22" s="18" customFormat="1">
      <c r="B69" s="18" t="s">
        <v>89</v>
      </c>
      <c r="E69" s="18">
        <f>8+15</f>
        <v>23</v>
      </c>
      <c r="F69" s="18">
        <f>7+12</f>
        <v>19</v>
      </c>
      <c r="G69" s="18">
        <f>6+11</f>
        <v>17</v>
      </c>
      <c r="H69" s="18">
        <f>12+5</f>
        <v>17</v>
      </c>
      <c r="I69" s="18">
        <f>14+3</f>
        <v>17</v>
      </c>
      <c r="J69" s="18">
        <v>4</v>
      </c>
      <c r="K69" s="18">
        <v>6</v>
      </c>
      <c r="L69" s="18">
        <v>6</v>
      </c>
      <c r="M69" s="18">
        <v>5</v>
      </c>
      <c r="N69" s="29"/>
      <c r="T69" s="18">
        <v>19</v>
      </c>
      <c r="U69" s="18">
        <v>4</v>
      </c>
      <c r="V69" s="29"/>
    </row>
    <row r="70" spans="2:22" s="18" customFormat="1">
      <c r="B70" s="18" t="s">
        <v>90</v>
      </c>
      <c r="C70" s="18">
        <f t="shared" ref="C70:K70" si="56">SUM(C66:C69)</f>
        <v>0</v>
      </c>
      <c r="D70" s="18">
        <f t="shared" si="56"/>
        <v>0</v>
      </c>
      <c r="E70" s="18">
        <f t="shared" si="56"/>
        <v>622</v>
      </c>
      <c r="F70" s="18">
        <f t="shared" si="56"/>
        <v>663</v>
      </c>
      <c r="G70" s="18">
        <f t="shared" si="56"/>
        <v>697</v>
      </c>
      <c r="H70" s="18">
        <f t="shared" si="56"/>
        <v>716</v>
      </c>
      <c r="I70" s="18">
        <f t="shared" si="56"/>
        <v>685</v>
      </c>
      <c r="J70" s="18">
        <f t="shared" si="56"/>
        <v>764</v>
      </c>
      <c r="K70" s="18">
        <f t="shared" si="56"/>
        <v>849</v>
      </c>
      <c r="L70" s="18">
        <f>SUM(L66:L69)</f>
        <v>872</v>
      </c>
      <c r="M70" s="18">
        <f t="shared" ref="M70" si="57">SUM(M66:M69)</f>
        <v>807</v>
      </c>
      <c r="N70" s="29"/>
      <c r="R70" s="18">
        <f t="shared" ref="R70:U70" si="58">SUM(R66:R69)</f>
        <v>0</v>
      </c>
      <c r="S70" s="18">
        <f t="shared" si="58"/>
        <v>0</v>
      </c>
      <c r="T70" s="18">
        <f t="shared" si="58"/>
        <v>663</v>
      </c>
      <c r="U70" s="18">
        <f t="shared" si="58"/>
        <v>764</v>
      </c>
      <c r="V70" s="29"/>
    </row>
    <row r="71" spans="2:22">
      <c r="M71" s="1"/>
    </row>
    <row r="72" spans="2:22" s="18" customFormat="1">
      <c r="B72" s="18" t="s">
        <v>91</v>
      </c>
      <c r="E72" s="18">
        <v>1119</v>
      </c>
      <c r="F72" s="18">
        <v>1098</v>
      </c>
      <c r="G72" s="18">
        <v>1098</v>
      </c>
      <c r="H72" s="18">
        <v>1079</v>
      </c>
      <c r="I72" s="18">
        <v>1149</v>
      </c>
      <c r="J72" s="18">
        <v>1194</v>
      </c>
      <c r="K72" s="18">
        <v>1203</v>
      </c>
      <c r="L72" s="18">
        <v>1283</v>
      </c>
      <c r="M72" s="18">
        <v>1420</v>
      </c>
      <c r="N72" s="29"/>
      <c r="T72" s="18">
        <v>1098</v>
      </c>
      <c r="U72" s="18">
        <v>1194</v>
      </c>
      <c r="V72" s="29"/>
    </row>
    <row r="73" spans="2:22" s="18" customFormat="1">
      <c r="B73" s="18" t="s">
        <v>92</v>
      </c>
      <c r="E73" s="18">
        <f t="shared" ref="E73:L73" si="59">+E72+E70</f>
        <v>1741</v>
      </c>
      <c r="F73" s="18">
        <f t="shared" si="59"/>
        <v>1761</v>
      </c>
      <c r="G73" s="18">
        <f t="shared" si="59"/>
        <v>1795</v>
      </c>
      <c r="H73" s="18">
        <f t="shared" si="59"/>
        <v>1795</v>
      </c>
      <c r="I73" s="18">
        <f t="shared" si="59"/>
        <v>1834</v>
      </c>
      <c r="J73" s="18">
        <f t="shared" si="59"/>
        <v>1958</v>
      </c>
      <c r="K73" s="18">
        <f t="shared" si="59"/>
        <v>2052</v>
      </c>
      <c r="L73" s="18">
        <f t="shared" si="59"/>
        <v>2155</v>
      </c>
      <c r="M73" s="18">
        <f t="shared" ref="M73" si="60">+M72+M70</f>
        <v>2227</v>
      </c>
      <c r="N73" s="29"/>
      <c r="T73" s="18">
        <f t="shared" ref="T73:U73" si="61">+T72+T70</f>
        <v>1761</v>
      </c>
      <c r="U73" s="18">
        <f t="shared" si="61"/>
        <v>1958</v>
      </c>
      <c r="V73" s="29"/>
    </row>
    <row r="75" spans="2:22">
      <c r="B75" s="1" t="s">
        <v>93</v>
      </c>
      <c r="E75" s="18">
        <f t="shared" ref="E75" si="62">+E61-E70</f>
        <v>1119</v>
      </c>
      <c r="F75" s="18">
        <f t="shared" ref="F75" si="63">+F61-F70</f>
        <v>1098</v>
      </c>
      <c r="G75" s="18">
        <f>+G61-G70</f>
        <v>1098</v>
      </c>
      <c r="H75" s="18">
        <f>+H61-H70</f>
        <v>1079</v>
      </c>
      <c r="I75" s="18">
        <f t="shared" ref="I75:J75" si="64">+I61-I70</f>
        <v>1149</v>
      </c>
      <c r="J75" s="18">
        <f t="shared" si="64"/>
        <v>1194</v>
      </c>
      <c r="K75" s="18">
        <f>+K61-K70</f>
        <v>1203</v>
      </c>
      <c r="L75" s="18">
        <f>+L61-L70</f>
        <v>1283</v>
      </c>
      <c r="M75" s="18">
        <f>+M61-M70</f>
        <v>1420</v>
      </c>
      <c r="T75" s="18">
        <f>+T61-T70</f>
        <v>1098</v>
      </c>
      <c r="U75" s="18">
        <f>+U61-U70</f>
        <v>1194</v>
      </c>
    </row>
    <row r="76" spans="2:22">
      <c r="B76" s="1" t="s">
        <v>94</v>
      </c>
      <c r="E76" s="1">
        <f t="shared" ref="E76" si="65">+E75/E26</f>
        <v>2.1782299495923523</v>
      </c>
      <c r="F76" s="1">
        <f t="shared" ref="F76" si="66">+F75/F26</f>
        <v>2.14453125</v>
      </c>
      <c r="G76" s="1">
        <f>+G75/G26</f>
        <v>2.0954198473282442</v>
      </c>
      <c r="H76" s="1">
        <f>+H75/H26</f>
        <v>2.0396975425330814</v>
      </c>
      <c r="I76" s="1">
        <f t="shared" ref="I76:J76" si="67">+I75/I26</f>
        <v>2.1467826402120171</v>
      </c>
      <c r="J76" s="1">
        <f t="shared" si="67"/>
        <v>2.244360902255639</v>
      </c>
      <c r="K76" s="1">
        <f>+K75/K26</f>
        <v>2.1992687385740401</v>
      </c>
      <c r="L76" s="1">
        <f>+L75/L26</f>
        <v>2.3075539568345325</v>
      </c>
      <c r="M76" s="1">
        <f>+M75/M26</f>
        <v>2.5222024866785078</v>
      </c>
      <c r="T76" s="1">
        <f>+T75/T26</f>
        <v>2.14453125</v>
      </c>
      <c r="U76" s="1">
        <f>+U75/U26</f>
        <v>2.244360902255639</v>
      </c>
    </row>
    <row r="78" spans="2:22">
      <c r="B78" s="1" t="s">
        <v>6</v>
      </c>
      <c r="C78" s="18">
        <f t="shared" ref="C78:K78" si="68">+C49+C50</f>
        <v>0</v>
      </c>
      <c r="D78" s="18">
        <f t="shared" si="68"/>
        <v>0</v>
      </c>
      <c r="E78" s="18">
        <f t="shared" si="68"/>
        <v>1053</v>
      </c>
      <c r="F78" s="18">
        <f t="shared" si="68"/>
        <v>1021</v>
      </c>
      <c r="G78" s="18">
        <f t="shared" si="68"/>
        <v>950</v>
      </c>
      <c r="H78" s="18">
        <f t="shared" si="68"/>
        <v>990</v>
      </c>
      <c r="I78" s="18">
        <f t="shared" si="68"/>
        <v>1030</v>
      </c>
      <c r="J78" s="18">
        <f t="shared" si="68"/>
        <v>1124</v>
      </c>
      <c r="K78" s="18">
        <f t="shared" si="68"/>
        <v>1115</v>
      </c>
      <c r="L78" s="18">
        <f>+L49+L50</f>
        <v>1219</v>
      </c>
      <c r="M78" s="18">
        <f>+M49+M50</f>
        <v>1272</v>
      </c>
      <c r="T78" s="18">
        <f>+T49+T50</f>
        <v>1021</v>
      </c>
      <c r="U78" s="18">
        <f>+U49+U50</f>
        <v>1124</v>
      </c>
    </row>
    <row r="79" spans="2:22">
      <c r="B79" s="1" t="s">
        <v>7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T79" s="1">
        <v>0</v>
      </c>
      <c r="U79" s="1">
        <v>0</v>
      </c>
    </row>
    <row r="80" spans="2:22">
      <c r="B80" s="1" t="s">
        <v>8</v>
      </c>
      <c r="C80" s="18">
        <f t="shared" ref="C80:K80" si="69">+C78-C79</f>
        <v>0</v>
      </c>
      <c r="D80" s="18">
        <f t="shared" si="69"/>
        <v>0</v>
      </c>
      <c r="E80" s="18">
        <f t="shared" si="69"/>
        <v>1053</v>
      </c>
      <c r="F80" s="18">
        <f t="shared" si="69"/>
        <v>1021</v>
      </c>
      <c r="G80" s="18">
        <f t="shared" si="69"/>
        <v>950</v>
      </c>
      <c r="H80" s="18">
        <f t="shared" si="69"/>
        <v>990</v>
      </c>
      <c r="I80" s="18">
        <f t="shared" si="69"/>
        <v>1030</v>
      </c>
      <c r="J80" s="18">
        <f t="shared" si="69"/>
        <v>1124</v>
      </c>
      <c r="K80" s="18">
        <f t="shared" si="69"/>
        <v>1115</v>
      </c>
      <c r="L80" s="18">
        <f>+L78-L79</f>
        <v>1219</v>
      </c>
      <c r="M80" s="18">
        <f>+M78-M79</f>
        <v>1272</v>
      </c>
      <c r="T80" s="18">
        <f>+T78-T79</f>
        <v>1021</v>
      </c>
      <c r="U80" s="18">
        <f>+U78-U79</f>
        <v>1124</v>
      </c>
    </row>
    <row r="82" spans="2:22">
      <c r="B82" s="1" t="s">
        <v>95</v>
      </c>
      <c r="C82" s="1">
        <v>21.73</v>
      </c>
      <c r="D82" s="1">
        <v>12.94</v>
      </c>
      <c r="E82" s="1">
        <v>16.72</v>
      </c>
      <c r="F82" s="1">
        <v>18.03</v>
      </c>
      <c r="G82" s="1">
        <v>17.02</v>
      </c>
      <c r="H82" s="1">
        <v>22.57</v>
      </c>
      <c r="I82" s="1">
        <v>18.73</v>
      </c>
      <c r="J82" s="1">
        <v>18.260000000000002</v>
      </c>
      <c r="K82" s="1">
        <v>24.92</v>
      </c>
      <c r="L82" s="1">
        <v>25.77</v>
      </c>
      <c r="M82" s="20">
        <v>28.31</v>
      </c>
      <c r="S82" s="1">
        <v>34.71</v>
      </c>
      <c r="T82" s="1">
        <v>18.03</v>
      </c>
      <c r="U82" s="1">
        <v>18.260000000000002</v>
      </c>
    </row>
    <row r="83" spans="2:22" s="18" customFormat="1">
      <c r="B83" s="18" t="s">
        <v>5</v>
      </c>
      <c r="E83" s="18">
        <f t="shared" ref="E83" si="70">+E82*E26</f>
        <v>8589.3961762399995</v>
      </c>
      <c r="F83" s="18">
        <f t="shared" ref="F83:M83" si="71">+F82*F26</f>
        <v>9231.36</v>
      </c>
      <c r="G83" s="18">
        <f t="shared" si="71"/>
        <v>8918.48</v>
      </c>
      <c r="H83" s="18">
        <f t="shared" si="71"/>
        <v>11939.53</v>
      </c>
      <c r="I83" s="18">
        <f t="shared" si="71"/>
        <v>10024.66183436</v>
      </c>
      <c r="J83" s="18">
        <f t="shared" si="71"/>
        <v>9714.3200000000015</v>
      </c>
      <c r="K83" s="18">
        <f t="shared" si="71"/>
        <v>13631.240000000002</v>
      </c>
      <c r="L83" s="18">
        <f t="shared" si="71"/>
        <v>14328.119999999999</v>
      </c>
      <c r="M83" s="18">
        <f t="shared" si="71"/>
        <v>15938.529999999999</v>
      </c>
      <c r="N83" s="29"/>
      <c r="S83" s="18">
        <f>+S82*S26</f>
        <v>10065.9</v>
      </c>
      <c r="T83" s="18">
        <f>+T82*T26</f>
        <v>9231.36</v>
      </c>
      <c r="U83" s="18">
        <f>+U82*U26</f>
        <v>9714.3200000000015</v>
      </c>
      <c r="V83" s="29"/>
    </row>
    <row r="84" spans="2:22">
      <c r="B84" s="1" t="s">
        <v>9</v>
      </c>
      <c r="E84" s="18">
        <f t="shared" ref="E84" si="72">+E83-E80</f>
        <v>7536.3961762399995</v>
      </c>
      <c r="F84" s="18">
        <f t="shared" ref="F84:M84" si="73">+F83-F80</f>
        <v>8210.36</v>
      </c>
      <c r="G84" s="18">
        <f t="shared" si="73"/>
        <v>7968.48</v>
      </c>
      <c r="H84" s="18">
        <f t="shared" si="73"/>
        <v>10949.53</v>
      </c>
      <c r="I84" s="18">
        <f t="shared" si="73"/>
        <v>8994.6618343600003</v>
      </c>
      <c r="J84" s="18">
        <f t="shared" si="73"/>
        <v>8590.3200000000015</v>
      </c>
      <c r="K84" s="18">
        <f t="shared" si="73"/>
        <v>12516.240000000002</v>
      </c>
      <c r="L84" s="18">
        <f t="shared" si="73"/>
        <v>13109.119999999999</v>
      </c>
      <c r="M84" s="18">
        <f t="shared" si="73"/>
        <v>14666.529999999999</v>
      </c>
      <c r="T84" s="18">
        <f>+T83-T80</f>
        <v>8210.36</v>
      </c>
      <c r="U84" s="18">
        <f>+U83-U80</f>
        <v>8590.3200000000015</v>
      </c>
    </row>
    <row r="86" spans="2:22" s="34" customFormat="1">
      <c r="B86" s="34" t="s">
        <v>20</v>
      </c>
      <c r="E86" s="34">
        <f t="shared" ref="E86" si="74">E82/E76</f>
        <v>7.6759572620554071</v>
      </c>
      <c r="F86" s="34">
        <f t="shared" ref="F86:K86" si="75">F82/F76</f>
        <v>8.4074316939890714</v>
      </c>
      <c r="G86" s="34">
        <f t="shared" si="75"/>
        <v>8.1224772313296913</v>
      </c>
      <c r="H86" s="34">
        <f t="shared" si="75"/>
        <v>11.065366079703429</v>
      </c>
      <c r="I86" s="34">
        <f t="shared" si="75"/>
        <v>8.7246839289469094</v>
      </c>
      <c r="J86" s="34">
        <f t="shared" si="75"/>
        <v>8.1359463986599678</v>
      </c>
      <c r="K86" s="34">
        <f t="shared" si="75"/>
        <v>11.331039068994182</v>
      </c>
      <c r="L86" s="34">
        <f>L82/L76</f>
        <v>11.167669524551831</v>
      </c>
      <c r="M86" s="34">
        <f>M82/M76</f>
        <v>11.224316901408452</v>
      </c>
      <c r="N86" s="43"/>
      <c r="T86" s="34">
        <f>+T82/T76</f>
        <v>8.4074316939890714</v>
      </c>
      <c r="U86" s="34">
        <f>+U82/U76</f>
        <v>8.1359463986599678</v>
      </c>
      <c r="V86" s="43"/>
    </row>
    <row r="87" spans="2:22" s="34" customFormat="1">
      <c r="B87" s="34" t="s">
        <v>21</v>
      </c>
      <c r="E87" s="34">
        <f t="shared" ref="E87" si="76">E83/SUM(B7:E7)</f>
        <v>4.3778777656676855</v>
      </c>
      <c r="F87" s="34">
        <f t="shared" ref="F87:K87" si="77">F83/SUM(C7:F7)</f>
        <v>3.3802123764188945</v>
      </c>
      <c r="G87" s="34">
        <f t="shared" si="77"/>
        <v>2.9580364842454392</v>
      </c>
      <c r="H87" s="34">
        <f t="shared" si="77"/>
        <v>3.5984116937914408</v>
      </c>
      <c r="I87" s="34">
        <f t="shared" si="77"/>
        <v>2.7861761629683159</v>
      </c>
      <c r="J87" s="34">
        <f t="shared" si="77"/>
        <v>2.513407503234153</v>
      </c>
      <c r="K87" s="34">
        <f t="shared" si="77"/>
        <v>3.3077505459839847</v>
      </c>
      <c r="L87" s="34">
        <f>L83/SUM(I7:L7)</f>
        <v>3.2675302166476623</v>
      </c>
      <c r="M87" s="34">
        <f>M83/SUM(J7:M7)</f>
        <v>3.4217539716616572</v>
      </c>
      <c r="N87" s="43"/>
      <c r="T87" s="34">
        <f t="shared" ref="T87" si="78">+T83/T7</f>
        <v>3.3802123764188945</v>
      </c>
      <c r="U87" s="34">
        <f>+U83/U7</f>
        <v>2.513407503234153</v>
      </c>
      <c r="V87" s="43"/>
    </row>
    <row r="88" spans="2:22" s="34" customFormat="1">
      <c r="B88" s="34" t="s">
        <v>22</v>
      </c>
      <c r="E88" s="34">
        <f t="shared" ref="E88" si="79">E84/SUM(B7:E7)</f>
        <v>3.8411805179612637</v>
      </c>
      <c r="F88" s="34">
        <f t="shared" ref="F88:K88" si="80">F84/SUM(C7:F7)</f>
        <v>3.0063566459172466</v>
      </c>
      <c r="G88" s="34">
        <f t="shared" si="80"/>
        <v>2.6429452736318408</v>
      </c>
      <c r="H88" s="34">
        <f t="shared" si="80"/>
        <v>3.3000391802290538</v>
      </c>
      <c r="I88" s="34">
        <f t="shared" si="80"/>
        <v>2.499906012884936</v>
      </c>
      <c r="J88" s="34">
        <f t="shared" si="80"/>
        <v>2.2225924967658477</v>
      </c>
      <c r="K88" s="34">
        <f t="shared" si="80"/>
        <v>3.037185149235623</v>
      </c>
      <c r="L88" s="34">
        <f>L84/SUM(I7:L7)</f>
        <v>2.9895370581527936</v>
      </c>
      <c r="M88" s="34">
        <f>M84/SUM(J7:M7)</f>
        <v>3.1486753971661656</v>
      </c>
      <c r="N88" s="43"/>
      <c r="T88" s="34">
        <f t="shared" ref="T88" si="81">+T84/T7</f>
        <v>3.0063566459172466</v>
      </c>
      <c r="U88" s="34">
        <f>+U84/U7</f>
        <v>2.2225924967658477</v>
      </c>
      <c r="V88" s="43"/>
    </row>
    <row r="89" spans="2:22">
      <c r="B89" s="1" t="s">
        <v>23</v>
      </c>
    </row>
    <row r="90" spans="2:22">
      <c r="B90" s="1" t="s">
        <v>24</v>
      </c>
    </row>
    <row r="93" spans="2:22">
      <c r="B93" s="24" t="s">
        <v>113</v>
      </c>
    </row>
    <row r="94" spans="2:22">
      <c r="B94" s="1" t="s">
        <v>114</v>
      </c>
      <c r="C94" s="1">
        <v>-47</v>
      </c>
      <c r="D94" s="1">
        <f>-68-C94</f>
        <v>-21</v>
      </c>
      <c r="E94" s="1">
        <f>-137-SUM(C94:D94)</f>
        <v>-69</v>
      </c>
      <c r="F94" s="1">
        <f>T94-SUM(C94:E94)</f>
        <v>-19</v>
      </c>
      <c r="G94" s="1">
        <v>-55</v>
      </c>
      <c r="H94" s="1">
        <f>-5-G94</f>
        <v>50</v>
      </c>
      <c r="I94" s="1">
        <f>43-SUM(G94:H94)</f>
        <v>48</v>
      </c>
      <c r="J94" s="1">
        <f>+U94-SUM(G94:I94)</f>
        <v>92</v>
      </c>
      <c r="K94" s="1">
        <v>-20</v>
      </c>
      <c r="L94" s="1">
        <f>104-K94</f>
        <v>124</v>
      </c>
      <c r="M94" s="20">
        <f>213-L94-K94</f>
        <v>109</v>
      </c>
      <c r="S94" s="1">
        <v>2</v>
      </c>
      <c r="T94" s="1">
        <v>-156</v>
      </c>
      <c r="U94" s="1">
        <v>135</v>
      </c>
    </row>
    <row r="95" spans="2:22">
      <c r="B95" s="1" t="s">
        <v>115</v>
      </c>
      <c r="C95" s="1">
        <f>-1-2</f>
        <v>-3</v>
      </c>
      <c r="D95" s="1">
        <f>(-5-7)-C95</f>
        <v>-9</v>
      </c>
      <c r="E95" s="1">
        <f>(-10-13)-SUM(C95:D95)</f>
        <v>-11</v>
      </c>
      <c r="F95" s="1">
        <f>T95-SUM(C95:E95)</f>
        <v>-10</v>
      </c>
      <c r="G95" s="1">
        <v>-10</v>
      </c>
      <c r="H95" s="1">
        <f>-21-G95</f>
        <v>-11</v>
      </c>
      <c r="I95" s="1">
        <f>(-4-27)-SUM(G95:H95)</f>
        <v>-10</v>
      </c>
      <c r="J95" s="1">
        <f>+U95-SUM(G95:I95)</f>
        <v>-11</v>
      </c>
      <c r="K95" s="1">
        <v>-13</v>
      </c>
      <c r="L95" s="1">
        <f>-29-K95</f>
        <v>-16</v>
      </c>
      <c r="M95" s="20">
        <v>-12</v>
      </c>
      <c r="S95" s="1">
        <v>-19</v>
      </c>
      <c r="T95" s="1">
        <v>-33</v>
      </c>
      <c r="U95" s="1">
        <v>-42</v>
      </c>
    </row>
    <row r="96" spans="2:22">
      <c r="B96" s="1" t="s">
        <v>140</v>
      </c>
      <c r="C96" s="1">
        <f t="shared" ref="C96:F96" si="82">+C94+C95</f>
        <v>-50</v>
      </c>
      <c r="D96" s="1">
        <f t="shared" si="82"/>
        <v>-30</v>
      </c>
      <c r="E96" s="1">
        <f t="shared" si="82"/>
        <v>-80</v>
      </c>
      <c r="F96" s="1">
        <f t="shared" si="82"/>
        <v>-29</v>
      </c>
      <c r="G96" s="1">
        <f t="shared" ref="G96:M96" si="83">+G94+G95</f>
        <v>-65</v>
      </c>
      <c r="H96" s="1">
        <f t="shared" si="83"/>
        <v>39</v>
      </c>
      <c r="I96" s="1">
        <f t="shared" si="83"/>
        <v>38</v>
      </c>
      <c r="J96" s="1">
        <f t="shared" si="83"/>
        <v>81</v>
      </c>
      <c r="K96" s="1">
        <f t="shared" si="83"/>
        <v>-33</v>
      </c>
      <c r="L96" s="1">
        <f t="shared" si="83"/>
        <v>108</v>
      </c>
      <c r="M96" s="1">
        <f t="shared" si="83"/>
        <v>97</v>
      </c>
      <c r="S96" s="1">
        <f t="shared" ref="S96:U96" si="84">+S94+S95</f>
        <v>-17</v>
      </c>
      <c r="T96" s="1">
        <f t="shared" si="84"/>
        <v>-189</v>
      </c>
      <c r="U96" s="1">
        <f t="shared" si="84"/>
        <v>93</v>
      </c>
    </row>
    <row r="98" spans="2:22">
      <c r="B98" s="1" t="s">
        <v>141</v>
      </c>
      <c r="F98" s="1">
        <f t="shared" ref="F98:K98" si="85">SUM(C96:F96)</f>
        <v>-189</v>
      </c>
      <c r="G98" s="1">
        <f t="shared" si="85"/>
        <v>-204</v>
      </c>
      <c r="H98" s="1">
        <f t="shared" si="85"/>
        <v>-135</v>
      </c>
      <c r="I98" s="1">
        <f t="shared" si="85"/>
        <v>-17</v>
      </c>
      <c r="J98" s="1">
        <f t="shared" si="85"/>
        <v>93</v>
      </c>
      <c r="K98" s="1">
        <f t="shared" si="85"/>
        <v>125</v>
      </c>
      <c r="L98" s="1">
        <f>SUM(I96:L96)</f>
        <v>194</v>
      </c>
      <c r="M98" s="1">
        <f>SUM(J96:M96)</f>
        <v>253</v>
      </c>
      <c r="U98" s="1">
        <f>U96</f>
        <v>93</v>
      </c>
    </row>
    <row r="99" spans="2:22" s="53" customFormat="1">
      <c r="B99" s="53" t="s">
        <v>142</v>
      </c>
      <c r="F99" s="53">
        <f t="shared" ref="F99:K99" si="86">F98/F26</f>
        <v>-0.369140625</v>
      </c>
      <c r="G99" s="53">
        <f t="shared" si="86"/>
        <v>-0.38931297709923662</v>
      </c>
      <c r="H99" s="53">
        <f t="shared" si="86"/>
        <v>-0.2551984877126654</v>
      </c>
      <c r="I99" s="53">
        <f t="shared" si="86"/>
        <v>-3.1762667435686932E-2</v>
      </c>
      <c r="J99" s="53">
        <f t="shared" si="86"/>
        <v>0.17481203007518797</v>
      </c>
      <c r="K99" s="53">
        <f t="shared" si="86"/>
        <v>0.22851919561243145</v>
      </c>
      <c r="L99" s="53">
        <f>L98/L26</f>
        <v>0.34892086330935251</v>
      </c>
      <c r="M99" s="53">
        <f>M98/M26</f>
        <v>0.44937833037300179</v>
      </c>
      <c r="N99" s="54"/>
      <c r="U99" s="53">
        <f>U98/U26</f>
        <v>0.17481203007518797</v>
      </c>
      <c r="V99" s="54"/>
    </row>
    <row r="100" spans="2:22" s="55" customFormat="1">
      <c r="B100" s="55" t="s">
        <v>143</v>
      </c>
      <c r="J100" s="55">
        <f t="shared" ref="J100:K100" si="87">J82/J99</f>
        <v>104.45505376344087</v>
      </c>
      <c r="K100" s="55">
        <f t="shared" si="87"/>
        <v>109.04992</v>
      </c>
      <c r="L100" s="55">
        <f>L82/L99</f>
        <v>73.856288659793819</v>
      </c>
      <c r="M100" s="55">
        <f>M82/M99</f>
        <v>62.998142292490115</v>
      </c>
      <c r="N100" s="56"/>
      <c r="U100" s="55">
        <f>U82/U99</f>
        <v>104.45505376344087</v>
      </c>
      <c r="V100" s="56"/>
    </row>
  </sheetData>
  <hyperlinks>
    <hyperlink ref="L1" r:id="rId1" xr:uid="{0837F40A-0FAC-4C73-8A4B-272E5AFA93D3}"/>
    <hyperlink ref="J1" r:id="rId2" xr:uid="{559A6669-5F84-466A-BA53-74250CAF3327}"/>
    <hyperlink ref="U1" r:id="rId3" xr:uid="{7E9D3DFB-21DF-4967-8FE8-C7C35F737CBB}"/>
    <hyperlink ref="I1" r:id="rId4" xr:uid="{BA3992CA-0B4B-4E34-BBED-29391D9BB849}"/>
    <hyperlink ref="G1" r:id="rId5" xr:uid="{95042790-5EF8-4461-B9B8-0F88E2CB69EF}"/>
    <hyperlink ref="D1" r:id="rId6" xr:uid="{7C328E76-45FC-4700-BEE9-82219FAB29CF}"/>
    <hyperlink ref="H1" r:id="rId7" xr:uid="{A357D80B-5D88-4375-AFF1-D05979AD63BA}"/>
    <hyperlink ref="F1" r:id="rId8" xr:uid="{89EBA9E3-DB7C-43EF-9610-D27FB82644A9}"/>
    <hyperlink ref="T1" r:id="rId9" xr:uid="{424A4C07-9793-4D41-96B8-D93CE6AE4C47}"/>
    <hyperlink ref="S1" r:id="rId10" xr:uid="{6011FFA0-0DE5-4B7C-BF19-7BDC661C975F}"/>
    <hyperlink ref="E1" r:id="rId11" xr:uid="{4DC3E384-607C-45CF-9458-C63271D0A113}"/>
    <hyperlink ref="M1" r:id="rId12" xr:uid="{0198B9C7-7608-416A-8251-E3018FDD70AD}"/>
  </hyperlinks>
  <pageMargins left="0.7" right="0.7" top="0.75" bottom="0.75" header="0.3" footer="0.3"/>
  <pageSetup orientation="portrait" r:id="rId13"/>
  <ignoredErrors>
    <ignoredError sqref="V22 J7 J22 F7 F18:F24 J43" formula="1"/>
  </ignoredErrors>
  <drawing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me</cp:lastModifiedBy>
  <cp:lastPrinted>2024-11-04T16:05:30Z</cp:lastPrinted>
  <dcterms:created xsi:type="dcterms:W3CDTF">2024-11-04T15:48:48Z</dcterms:created>
  <dcterms:modified xsi:type="dcterms:W3CDTF">2024-11-25T20:44:57Z</dcterms:modified>
</cp:coreProperties>
</file>