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95E8685-F20F-4A16-AA57-830226FDF9ED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1" l="1"/>
  <c r="T6" i="1" l="1"/>
  <c r="AC5" i="1" l="1"/>
  <c r="AB5" i="1"/>
  <c r="S5" i="1"/>
  <c r="T5" i="1"/>
  <c r="AL5" i="1"/>
  <c r="AJ5" i="1"/>
  <c r="AI5" i="1"/>
  <c r="AH5" i="1"/>
  <c r="AA5" i="1"/>
  <c r="Y5" i="1"/>
  <c r="X5" i="1"/>
  <c r="W5" i="1"/>
  <c r="V5" i="1"/>
  <c r="K5" i="1"/>
  <c r="G5" i="1"/>
  <c r="F5" i="1"/>
  <c r="C5" i="1"/>
  <c r="Q5" i="1"/>
  <c r="H5" i="1"/>
  <c r="L5" i="1"/>
  <c r="R5" i="1" l="1"/>
  <c r="I5" i="1"/>
  <c r="J5" i="1" l="1"/>
  <c r="AJ12" i="1"/>
  <c r="AI12" i="1"/>
  <c r="AH12" i="1"/>
  <c r="AL12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2" i="1"/>
  <c r="L12" i="1"/>
  <c r="J12" i="1"/>
  <c r="I12" i="1"/>
  <c r="AA12" i="1"/>
  <c r="Y12" i="1"/>
  <c r="X12" i="1"/>
  <c r="W12" i="1"/>
  <c r="V12" i="1"/>
  <c r="Q12" i="1"/>
  <c r="F12" i="1"/>
  <c r="Q6" i="1" l="1"/>
  <c r="G12" i="1"/>
  <c r="H12" i="1"/>
  <c r="AA11" i="1"/>
  <c r="Y11" i="1"/>
  <c r="X11" i="1"/>
  <c r="W11" i="1"/>
  <c r="V11" i="1"/>
  <c r="V6" i="1" l="1"/>
  <c r="R7" i="1"/>
  <c r="AC7" i="1"/>
  <c r="AB7" i="1"/>
  <c r="AI7" i="1"/>
  <c r="AG7" i="1"/>
  <c r="L7" i="1"/>
  <c r="K7" i="1"/>
  <c r="X7" i="1"/>
  <c r="AH7" i="1"/>
  <c r="AJ7" i="1"/>
  <c r="G7" i="1"/>
  <c r="F7" i="1"/>
  <c r="H7" i="1"/>
  <c r="W6" i="1" l="1"/>
  <c r="I7" i="1"/>
  <c r="AA7" i="1"/>
  <c r="V7" i="1"/>
  <c r="Q7" i="1"/>
  <c r="J7" i="1"/>
  <c r="Y7" i="1"/>
  <c r="W7" i="1"/>
  <c r="Y6" i="1" l="1"/>
  <c r="AA4" i="1"/>
  <c r="Y4" i="1"/>
  <c r="X4" i="1"/>
  <c r="W4" i="1"/>
  <c r="V4" i="1"/>
  <c r="X6" i="1" l="1"/>
  <c r="S4" i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3" i="1" l="1"/>
  <c r="K16" i="1"/>
  <c r="L16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3" i="1" l="1"/>
  <c r="R13" i="1"/>
  <c r="Q13" i="1"/>
  <c r="Y13" i="1"/>
  <c r="X13" i="1"/>
  <c r="W13" i="1"/>
  <c r="V13" i="1"/>
  <c r="AA13" i="1"/>
  <c r="AC13" i="1"/>
  <c r="AB13" i="1"/>
  <c r="AG13" i="1"/>
  <c r="AJ13" i="1"/>
  <c r="AI13" i="1"/>
  <c r="AH13" i="1"/>
  <c r="L13" i="1"/>
  <c r="K13" i="1"/>
  <c r="G13" i="1"/>
  <c r="D4" i="2"/>
  <c r="D3" i="2"/>
  <c r="I13" i="1" s="1"/>
  <c r="H13" i="1" l="1"/>
  <c r="J13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</calcChain>
</file>

<file path=xl/sharedStrings.xml><?xml version="1.0" encoding="utf-8"?>
<sst xmlns="http://schemas.openxmlformats.org/spreadsheetml/2006/main" count="115" uniqueCount="94">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</sst>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"/>
    <numFmt numFmtId="166" formatCode="0\x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269.76</v>
          </cell>
        </row>
        <row r="7">
          <cell r="C7">
            <v>265.31700000000001</v>
          </cell>
        </row>
        <row r="8">
          <cell r="C8">
            <v>71571.913920000006</v>
          </cell>
        </row>
        <row r="11">
          <cell r="C11">
            <v>4391</v>
          </cell>
        </row>
        <row r="12">
          <cell r="C12">
            <v>67180.913920000006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Q224</v>
          </cell>
          <cell r="D29">
            <v>45532</v>
          </cell>
        </row>
        <row r="34">
          <cell r="C34">
            <v>8.5766223990413426</v>
          </cell>
        </row>
        <row r="35">
          <cell r="C35">
            <v>9.1023672796642519</v>
          </cell>
        </row>
        <row r="37">
          <cell r="C37">
            <v>45.85620282114553</v>
          </cell>
        </row>
        <row r="39">
          <cell r="C39">
            <v>33.856156064333014</v>
          </cell>
        </row>
        <row r="40">
          <cell r="C40">
            <v>62</v>
          </cell>
        </row>
      </sheetData>
      <sheetData sheetId="1">
        <row r="22">
          <cell r="N22">
            <v>0.75491606714628301</v>
          </cell>
        </row>
        <row r="23">
          <cell r="N23">
            <v>5.3237410071942444E-2</v>
          </cell>
        </row>
        <row r="24">
          <cell r="N24">
            <v>6.3309352517985612E-2</v>
          </cell>
        </row>
        <row r="25">
          <cell r="N25">
            <v>0.21428571428571427</v>
          </cell>
        </row>
        <row r="27">
          <cell r="N27">
            <v>0.16675993284834911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321.27</v>
          </cell>
        </row>
        <row r="7">
          <cell r="C7">
            <v>216</v>
          </cell>
        </row>
        <row r="8">
          <cell r="C8">
            <v>69394.319999999992</v>
          </cell>
        </row>
        <row r="11">
          <cell r="C11">
            <v>-177</v>
          </cell>
        </row>
        <row r="12">
          <cell r="C12">
            <v>69571.319999999992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Q225</v>
          </cell>
          <cell r="D29">
            <v>45538</v>
          </cell>
        </row>
        <row r="34">
          <cell r="C34">
            <v>28.049442198868228</v>
          </cell>
        </row>
        <row r="35">
          <cell r="C35">
            <v>11.954232558139534</v>
          </cell>
        </row>
        <row r="36">
          <cell r="C36">
            <v>65.277899355462978</v>
          </cell>
        </row>
        <row r="37">
          <cell r="C37">
            <v>61.41090265486725</v>
          </cell>
        </row>
        <row r="38">
          <cell r="C38">
            <v>76</v>
          </cell>
        </row>
      </sheetData>
      <sheetData sheetId="1">
        <row r="25">
          <cell r="L25">
            <v>0.90557620817843865</v>
          </cell>
        </row>
        <row r="26">
          <cell r="L26">
            <v>0.19479553903345725</v>
          </cell>
        </row>
        <row r="27">
          <cell r="L27">
            <v>0.16505576208178438</v>
          </cell>
        </row>
        <row r="28">
          <cell r="L28">
            <v>0.13953488372093023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O21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F5" sqref="AF5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7.42578125" style="2" bestFit="1" customWidth="1"/>
    <col min="41" max="41" width="31.7109375" style="2" bestFit="1" customWidth="1"/>
    <col min="42" max="16384" width="9.140625" style="1"/>
  </cols>
  <sheetData>
    <row r="1" spans="2:41">
      <c r="F1" s="25" t="s">
        <v>60</v>
      </c>
      <c r="L1" s="2"/>
    </row>
    <row r="2" spans="2:41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93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90</v>
      </c>
      <c r="AM2" s="4"/>
      <c r="AN2" s="4" t="s">
        <v>29</v>
      </c>
      <c r="AO2" s="4" t="s">
        <v>30</v>
      </c>
    </row>
    <row r="3" spans="2:41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</row>
    <row r="4" spans="2:41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76</v>
      </c>
      <c r="AO4" s="2" t="s">
        <v>77</v>
      </c>
    </row>
    <row r="5" spans="2:41">
      <c r="B5" s="5" t="s">
        <v>91</v>
      </c>
      <c r="C5" s="1" t="str">
        <f>+[12]Main!$B$3</f>
        <v>Workday, Inc.</v>
      </c>
      <c r="D5" s="2" t="s">
        <v>32</v>
      </c>
      <c r="E5" s="2" t="s">
        <v>33</v>
      </c>
      <c r="F5" s="10">
        <f>+[12]Main!$C$6</f>
        <v>269.76</v>
      </c>
      <c r="G5" s="8">
        <f>+[12]Main!$C$7</f>
        <v>265.31700000000001</v>
      </c>
      <c r="H5" s="8">
        <f>+[12]Main!$C$8</f>
        <v>71571.913920000006</v>
      </c>
      <c r="I5" s="8">
        <f>+[12]Main!$C$11</f>
        <v>4391</v>
      </c>
      <c r="J5" s="8">
        <f>+[12]Main!$C$12</f>
        <v>67180.913920000006</v>
      </c>
      <c r="K5" s="2" t="str">
        <f>+[12]Main!$C$29</f>
        <v>Q224</v>
      </c>
      <c r="L5" s="13">
        <f>+[12]Main!$D$29</f>
        <v>45532</v>
      </c>
      <c r="Q5" s="30">
        <f>+[12]Main!$C$34</f>
        <v>8.5766223990413426</v>
      </c>
      <c r="R5" s="30">
        <f>+[12]Main!$C$35</f>
        <v>9.1023672796642519</v>
      </c>
      <c r="S5" s="30">
        <f>+[12]Main!$C$37</f>
        <v>45.85620282114553</v>
      </c>
      <c r="T5" s="30">
        <f>+[12]Main!$C$39</f>
        <v>33.856156064333014</v>
      </c>
      <c r="V5" s="12">
        <f>+'[12]Financial Model'!$N$22</f>
        <v>0.75491606714628301</v>
      </c>
      <c r="W5" s="12">
        <f>+'[12]Financial Model'!$N$23</f>
        <v>5.3237410071942444E-2</v>
      </c>
      <c r="X5" s="12">
        <f>+'[12]Financial Model'!$N$24</f>
        <v>6.3309352517985612E-2</v>
      </c>
      <c r="Y5" s="12">
        <f>+'[12]Financial Model'!$N$25</f>
        <v>0.21428571428571427</v>
      </c>
      <c r="AA5" s="12">
        <f>+'[12]Financial Model'!$N$27</f>
        <v>0.16675993284834911</v>
      </c>
      <c r="AB5" s="12">
        <f>+'[12]Financial Model'!$V$27</f>
        <v>0.16779279279279269</v>
      </c>
      <c r="AC5" s="12">
        <f>+'[12]Financial Model'!$U$27</f>
        <v>0.2095738470519557</v>
      </c>
      <c r="AG5" s="18">
        <f>+'[12]Financial Model'!$N$31</f>
        <v>19908</v>
      </c>
      <c r="AH5" s="2">
        <f>+[12]Main!$C$24</f>
        <v>2005</v>
      </c>
      <c r="AI5" s="2">
        <f>+[12]Main!$C$25</f>
        <v>2012</v>
      </c>
      <c r="AJ5" s="2" t="str">
        <f>+[12]Main!$C$23</f>
        <v>Pleasanton, CA</v>
      </c>
      <c r="AL5" s="2">
        <f>+[12]Main!$C$40</f>
        <v>62</v>
      </c>
      <c r="AN5" s="2" t="s">
        <v>53</v>
      </c>
      <c r="AO5" s="2" t="s">
        <v>92</v>
      </c>
    </row>
    <row r="6" spans="2:41">
      <c r="B6" s="5" t="s">
        <v>86</v>
      </c>
      <c r="C6" s="1" t="s">
        <v>87</v>
      </c>
      <c r="D6" s="2" t="s">
        <v>32</v>
      </c>
      <c r="E6" s="2" t="s">
        <v>33</v>
      </c>
      <c r="F6" s="10">
        <f>+[3]Main!$C$6</f>
        <v>321.27</v>
      </c>
      <c r="G6" s="8">
        <f>+[3]Main!$C$7</f>
        <v>216</v>
      </c>
      <c r="H6" s="8">
        <f>+[3]Main!$C$8</f>
        <v>69394.319999999992</v>
      </c>
      <c r="I6" s="8">
        <f>+[3]Main!$C$11</f>
        <v>-177</v>
      </c>
      <c r="J6" s="8">
        <f>+[3]Main!$C$12</f>
        <v>69571.319999999992</v>
      </c>
      <c r="K6" s="2" t="str">
        <f>+[3]Main!$C$29</f>
        <v>Q225</v>
      </c>
      <c r="L6" s="13">
        <f>+[3]Main!$D$29</f>
        <v>45538</v>
      </c>
      <c r="Q6" s="30">
        <f>+[3]Main!$C$34</f>
        <v>28.049442198868228</v>
      </c>
      <c r="R6" s="30">
        <f>+[3]Main!$C$35</f>
        <v>11.954232558139534</v>
      </c>
      <c r="S6" s="30">
        <f>+[3]Main!$C$36</f>
        <v>65.277899355462978</v>
      </c>
      <c r="T6" s="30">
        <f>+[3]Main!$C$37</f>
        <v>61.41090265486725</v>
      </c>
      <c r="V6" s="12">
        <f>+'[3]Financial Model'!$L$25</f>
        <v>0.90557620817843865</v>
      </c>
      <c r="W6" s="12">
        <f>+'[3]Financial Model'!$L$26</f>
        <v>0.19479553903345725</v>
      </c>
      <c r="X6" s="12">
        <f>+'[3]Financial Model'!$L$27</f>
        <v>0.16505576208178438</v>
      </c>
      <c r="Y6" s="12">
        <f>+'[3]Financial Model'!$L$28</f>
        <v>0.13953488372093023</v>
      </c>
      <c r="AA6" s="12">
        <f>+'[3]Financial Model'!$L$30</f>
        <v>8.730800323362975E-2</v>
      </c>
      <c r="AB6" s="12">
        <f>+'[3]Financial Model'!$W$30</f>
        <v>0.27414584792590868</v>
      </c>
      <c r="AC6" s="12">
        <f>+'[3]Financial Model'!$V$30</f>
        <v>0</v>
      </c>
      <c r="AG6" s="18">
        <f>+[3]Main!$C$27</f>
        <v>14100</v>
      </c>
      <c r="AH6" s="2">
        <f>+[3]Main!$C$23</f>
        <v>1982</v>
      </c>
      <c r="AI6" s="2">
        <f>+[3]Main!$C$25</f>
        <v>1985</v>
      </c>
      <c r="AJ6" s="2" t="str">
        <f>+[3]Main!$C$24</f>
        <v>San Fransisco, CA</v>
      </c>
      <c r="AL6" s="2">
        <f>+[3]Main!$C$38</f>
        <v>76</v>
      </c>
      <c r="AN6" s="2" t="s">
        <v>89</v>
      </c>
      <c r="AO6" s="2" t="s">
        <v>88</v>
      </c>
    </row>
    <row r="7" spans="2:41">
      <c r="B7" s="5" t="s">
        <v>78</v>
      </c>
      <c r="C7" s="1" t="s">
        <v>79</v>
      </c>
      <c r="D7" s="2" t="s">
        <v>37</v>
      </c>
      <c r="E7" s="2" t="s">
        <v>33</v>
      </c>
      <c r="F7" s="10">
        <f>+[4]Main!$C$6</f>
        <v>130.24</v>
      </c>
      <c r="G7" s="8">
        <f>+[4]Main!$C$7</f>
        <v>334.07100000000003</v>
      </c>
      <c r="H7" s="8">
        <f>+[4]Main!$C$8</f>
        <v>43509.407040000006</v>
      </c>
      <c r="I7" s="8">
        <f>+[4]Main!$C$11</f>
        <v>3927.913</v>
      </c>
      <c r="J7" s="8">
        <f>+[4]Main!$C$12</f>
        <v>39581.494040000005</v>
      </c>
      <c r="K7" s="2" t="str">
        <f>+[4]Main!$C$29</f>
        <v>Q224</v>
      </c>
      <c r="L7" s="13">
        <f>+[4]Main!$D$29</f>
        <v>45533</v>
      </c>
      <c r="Q7" s="30">
        <f>+[4]Main!$C$34</f>
        <v>10.51564511498003</v>
      </c>
      <c r="R7" s="30">
        <f>+[4]Main!$C$35</f>
        <v>13.569715649610261</v>
      </c>
      <c r="V7" s="12">
        <f>+'[4]Financial Model'!$L$24</f>
        <v>0.66841087502014318</v>
      </c>
      <c r="W7" s="12">
        <f>+'[4]Financial Model'!$L$25</f>
        <v>-0.40901724257004091</v>
      </c>
      <c r="X7" s="12">
        <f>+'[4]Financial Model'!$L$26</f>
        <v>-0.36581528119892281</v>
      </c>
      <c r="Y7" s="12">
        <f>+'[4]Financial Model'!$L$27</f>
        <v>-1.2056288153566408E-2</v>
      </c>
      <c r="AA7" s="12">
        <f>+'[4]Financial Model'!$L$21</f>
        <v>0.28895667474755871</v>
      </c>
      <c r="AB7" s="12">
        <f>+'[4]Financial Model'!$X$21</f>
        <v>0.35864099544019612</v>
      </c>
      <c r="AC7" s="12">
        <f>+'[4]Financial Model'!$W$21</f>
        <v>0.69409764566847132</v>
      </c>
      <c r="AG7" s="18">
        <f>+[4]Main!$C$27</f>
        <v>7630</v>
      </c>
      <c r="AH7" s="2">
        <f>+[4]Main!$C$24</f>
        <v>2012</v>
      </c>
      <c r="AI7" s="2">
        <f>+[4]Main!$C$25</f>
        <v>2020</v>
      </c>
      <c r="AJ7" s="2" t="str">
        <f>+[4]Main!$C$23</f>
        <v>Bozeman, MT</v>
      </c>
      <c r="AN7" s="2" t="s">
        <v>81</v>
      </c>
      <c r="AO7" s="2" t="s">
        <v>80</v>
      </c>
    </row>
    <row r="8" spans="2:41">
      <c r="B8" s="5" t="s">
        <v>38</v>
      </c>
      <c r="C8" s="1" t="s">
        <v>39</v>
      </c>
      <c r="D8" s="2" t="s">
        <v>37</v>
      </c>
      <c r="E8" s="2" t="s">
        <v>33</v>
      </c>
      <c r="F8" s="10">
        <f>+[5]Main!$C$6</f>
        <v>51.68</v>
      </c>
      <c r="G8" s="8">
        <f>+[5]Main!$C$7</f>
        <v>641.81399999999996</v>
      </c>
      <c r="H8" s="8">
        <f>+[5]Main!$C$8</f>
        <v>33168.947520000002</v>
      </c>
      <c r="I8" s="8">
        <f>+[5]Main!$C$11</f>
        <v>2595.5510000000004</v>
      </c>
      <c r="J8" s="8">
        <f>+[5]Main!$C$12</f>
        <v>30573.396520000002</v>
      </c>
      <c r="K8" s="2" t="str">
        <f>+[5]Main!$G$11</f>
        <v>Q324</v>
      </c>
      <c r="L8" s="13">
        <f>+[5]Main!$H$11</f>
        <v>45596</v>
      </c>
      <c r="M8" s="20">
        <f>+'[5]Financial Model'!$AX$26</f>
        <v>71.486963060421459</v>
      </c>
      <c r="N8" s="16">
        <f>+'[5]Financial Model'!$AX$28</f>
        <v>0.38326166912580217</v>
      </c>
      <c r="O8" s="16">
        <f>+'[5]Financial Model'!$AX$22</f>
        <v>0.09</v>
      </c>
      <c r="Q8" s="30">
        <f>+[5]Main!$G$16</f>
        <v>523.51896884519317</v>
      </c>
      <c r="R8" s="30">
        <f>+[5]Main!$G$17</f>
        <v>11.261920977309074</v>
      </c>
      <c r="S8" s="30">
        <f>+[5]Main!$G$18</f>
        <v>-27.750520841528012</v>
      </c>
      <c r="V8" s="12">
        <f>+'[5]Financial Model'!$T$22</f>
        <v>0.77778685524927171</v>
      </c>
      <c r="W8" s="12">
        <f>+'[5]Financial Model'!$T$23</f>
        <v>-0.26629832028229189</v>
      </c>
      <c r="X8" s="12">
        <f>+'[5]Financial Model'!$T$24</f>
        <v>-0.23188027884500237</v>
      </c>
      <c r="Y8" s="12">
        <f>+'[5]Financial Model'!$T$25</f>
        <v>-5.311828476229569E-4</v>
      </c>
      <c r="AA8" s="12">
        <f>+'[5]Financial Model'!$T$28</f>
        <v>0.31255526862387373</v>
      </c>
      <c r="AB8" s="12"/>
      <c r="AC8" s="12">
        <f>+'[5]Financial Model'!$AF$28</f>
        <v>0.15937579623808262</v>
      </c>
      <c r="AD8" s="12">
        <f>+'[5]Financial Model'!$AE$28</f>
        <v>1.0772942519902369</v>
      </c>
      <c r="AF8" s="18">
        <f>+[5]Main!$G$9</f>
        <v>79.5</v>
      </c>
      <c r="AG8" s="18">
        <f>+[5]Main!$G$10</f>
        <v>2457</v>
      </c>
      <c r="AH8" s="2">
        <f>+[5]Main!$G$8</f>
        <v>2004</v>
      </c>
      <c r="AI8" s="2">
        <f>+[5]Main!$G$7</f>
        <v>2021</v>
      </c>
      <c r="AJ8" s="2" t="str">
        <f>+[5]Main!$G$6</f>
        <v>San Mateo, CA</v>
      </c>
      <c r="AN8" s="2" t="s">
        <v>43</v>
      </c>
      <c r="AO8" s="2" t="s">
        <v>44</v>
      </c>
    </row>
    <row r="9" spans="2:41">
      <c r="B9" s="6" t="s">
        <v>35</v>
      </c>
      <c r="C9" s="1" t="s">
        <v>36</v>
      </c>
      <c r="D9" s="2" t="s">
        <v>37</v>
      </c>
      <c r="E9" s="2" t="s">
        <v>33</v>
      </c>
      <c r="F9" s="10">
        <f>+[6]Main!$C$6</f>
        <v>129.71</v>
      </c>
      <c r="G9" s="8">
        <f>+[6]Main!$C$7</f>
        <v>169.16992200000001</v>
      </c>
      <c r="H9" s="8">
        <f>+[6]Main!$C$8</f>
        <v>21943.030582620002</v>
      </c>
      <c r="I9" s="8">
        <f>+[6]Main!$C$11</f>
        <v>1744.9669999999999</v>
      </c>
      <c r="J9" s="8">
        <f>+[6]Main!$C$12</f>
        <v>20198.063582620001</v>
      </c>
      <c r="K9" s="2" t="str">
        <f>+[6]Main!$C$32</f>
        <v>Q324</v>
      </c>
      <c r="L9" s="13">
        <f>+[6]Main!$D$32</f>
        <v>45594</v>
      </c>
      <c r="Q9" s="30">
        <f>+[6]Main!$C$37</f>
        <v>11.095743232541535</v>
      </c>
      <c r="V9" s="12">
        <f>+'[6]Financial Model'!$I$18</f>
        <v>0.90049404192897387</v>
      </c>
      <c r="W9" s="12">
        <f>+'[6]Financial Model'!$I$19</f>
        <v>1.9589437090750374E-2</v>
      </c>
      <c r="X9" s="12">
        <f>+'[6]Financial Model'!$I$20</f>
        <v>8.5611925902322611E-2</v>
      </c>
      <c r="Y9" s="12">
        <f>+'[6]Financial Model'!$I$21</f>
        <v>-1.0405477980665956E-3</v>
      </c>
      <c r="AA9" s="12">
        <f>+'[6]Financial Model'!$I$24</f>
        <v>0.67873527767604136</v>
      </c>
      <c r="AC9" s="2" t="s">
        <v>46</v>
      </c>
      <c r="AD9" s="2" t="s">
        <v>46</v>
      </c>
      <c r="AF9" s="18">
        <f>+[6]Main!$C$29</f>
        <v>97.2</v>
      </c>
      <c r="AG9" s="18">
        <f>+[6]Main!$C$30</f>
        <v>2013</v>
      </c>
      <c r="AH9" s="2">
        <f>+[6]Main!$C$25</f>
        <v>2005</v>
      </c>
      <c r="AI9" s="2">
        <f>+[6]Main!$C$26</f>
        <v>2024</v>
      </c>
      <c r="AJ9" s="2" t="str">
        <f>+[6]Main!$C$24</f>
        <v>San Fransisco, CA</v>
      </c>
      <c r="AN9" s="2" t="s">
        <v>41</v>
      </c>
      <c r="AO9" s="2" t="s">
        <v>45</v>
      </c>
    </row>
    <row r="10" spans="2:41">
      <c r="B10" s="5" t="s">
        <v>68</v>
      </c>
      <c r="C10" s="1" t="s">
        <v>71</v>
      </c>
      <c r="D10" s="2" t="s">
        <v>37</v>
      </c>
      <c r="E10" s="2" t="s">
        <v>33</v>
      </c>
      <c r="F10" s="10">
        <f>+[7]Main!$C$6</f>
        <v>36.5</v>
      </c>
      <c r="G10" s="8">
        <f>+[7]Main!$C$7</f>
        <v>563</v>
      </c>
      <c r="H10" s="8">
        <f>+[7]Main!$C$8</f>
        <v>20549.5</v>
      </c>
      <c r="I10" s="8">
        <f>+[7]Main!$C$11</f>
        <v>1272</v>
      </c>
      <c r="J10" s="8">
        <f>+[7]Main!$C$12</f>
        <v>19277.5</v>
      </c>
      <c r="K10" s="2" t="str">
        <f>+[7]Main!$C$30</f>
        <v>Q324</v>
      </c>
      <c r="L10" s="13">
        <f>+[7]Main!$D$30</f>
        <v>45603</v>
      </c>
      <c r="Q10" s="30">
        <f>+[7]Main!$C$35</f>
        <v>14.471478873239437</v>
      </c>
      <c r="R10" s="30">
        <f>+[7]Main!$C$36</f>
        <v>4.4116573636753973</v>
      </c>
      <c r="V10" s="12">
        <f>+'[7]Financial Model'!$M$28</f>
        <v>0.24674329501915709</v>
      </c>
      <c r="W10" s="12">
        <f>+'[7]Financial Model'!$M$29</f>
        <v>2.6053639846743294E-2</v>
      </c>
      <c r="X10" s="12">
        <f>+'[7]Financial Model'!$M$30</f>
        <v>4.2911877394636012E-2</v>
      </c>
      <c r="Y10" s="12">
        <f>+'[7]Financial Model'!$M$31</f>
        <v>1.7543859649122806E-2</v>
      </c>
      <c r="AA10" s="12">
        <f>+'[7]Financial Model'!$M$33</f>
        <v>0.26453488372093026</v>
      </c>
      <c r="AB10" s="12">
        <f>+'[7]Financial Model'!$U$33</f>
        <v>0.41523251556206509</v>
      </c>
      <c r="AC10" s="12">
        <f>+'[7]Financial Model'!$T$33</f>
        <v>0.6017595307917889</v>
      </c>
      <c r="AG10" s="18">
        <f>+[7]Main!$C$28</f>
        <v>5500</v>
      </c>
      <c r="AH10" s="2">
        <f>+[7]Main!$C$24</f>
        <v>2011</v>
      </c>
      <c r="AI10" s="2">
        <f>+[7]Main!$C$25</f>
        <v>2021</v>
      </c>
      <c r="AJ10" s="2" t="str">
        <f>+[7]Main!$C$23</f>
        <v>Boston, MA</v>
      </c>
      <c r="AO10" s="2" t="s">
        <v>69</v>
      </c>
    </row>
    <row r="11" spans="2:41">
      <c r="B11" s="5" t="s">
        <v>47</v>
      </c>
      <c r="C11" s="1" t="s">
        <v>55</v>
      </c>
      <c r="D11" s="2" t="s">
        <v>50</v>
      </c>
      <c r="E11" s="2" t="s">
        <v>51</v>
      </c>
      <c r="F11" s="10">
        <f>+[8]Main!$C$6*Currencies!C3</f>
        <v>16.497</v>
      </c>
      <c r="G11" s="8">
        <f>+[8]Main!$C$7</f>
        <v>1007</v>
      </c>
      <c r="H11" s="8">
        <f>G11*F11</f>
        <v>16612.478999999999</v>
      </c>
      <c r="I11" s="8">
        <f>[8]Main!$C$11*Currencies!C3</f>
        <v>-913.9</v>
      </c>
      <c r="J11" s="8">
        <f>H11-I11</f>
        <v>17526.379000000001</v>
      </c>
      <c r="K11" s="2" t="str">
        <f>+[8]Main!$C$27</f>
        <v>FY24</v>
      </c>
      <c r="L11" s="13">
        <f>+[8]Main!$D$27</f>
        <v>45616</v>
      </c>
      <c r="Q11" s="30">
        <f>[8]Main!$C$34</f>
        <v>11.691518755718205</v>
      </c>
      <c r="R11" s="30">
        <f>[8]Main!$C$33</f>
        <v>5.479772727272727</v>
      </c>
      <c r="S11" s="30">
        <f>+[8]Main!$C$32</f>
        <v>39.562941176470588</v>
      </c>
      <c r="V11" s="12">
        <f>+'[8]Financial Model'!$X$20</f>
        <v>0.92795883361921094</v>
      </c>
      <c r="W11" s="12">
        <f>+'[8]Financial Model'!$X$21</f>
        <v>0.19382504288164665</v>
      </c>
      <c r="X11" s="12">
        <f>+'[8]Financial Model'!$X$22</f>
        <v>0.13850771869639794</v>
      </c>
      <c r="Y11" s="12">
        <f>+'[8]Financial Model'!$X$23</f>
        <v>0.24178403755868544</v>
      </c>
      <c r="AA11" s="12">
        <f>+'[8]Financial Model'!$X$25</f>
        <v>6.7765567765567747E-2</v>
      </c>
      <c r="AB11" s="12">
        <f>+'[8]Financial Model'!$W$25</f>
        <v>0.1217257318952234</v>
      </c>
      <c r="AC11" s="12">
        <f>+'[8]Financial Model'!$V$25</f>
        <v>5.4712892741061836E-2</v>
      </c>
      <c r="AD11" s="12">
        <f>+'[8]Financial Model'!$U$25</f>
        <v>-2.9952706253284278E-2</v>
      </c>
      <c r="AG11" s="18">
        <f>+[8]Main!$C$26</f>
        <v>11565</v>
      </c>
      <c r="AH11" s="2">
        <f>+[8]Main!$C$24</f>
        <v>1981</v>
      </c>
      <c r="AI11" s="2">
        <f>+[8]Main!$C$25</f>
        <v>1989</v>
      </c>
      <c r="AJ11" s="2" t="s">
        <v>52</v>
      </c>
      <c r="AN11" s="2" t="s">
        <v>53</v>
      </c>
      <c r="AO11" s="2" t="s">
        <v>54</v>
      </c>
    </row>
    <row r="12" spans="2:41">
      <c r="B12" s="5" t="s">
        <v>82</v>
      </c>
      <c r="C12" s="1" t="s">
        <v>83</v>
      </c>
      <c r="D12" s="2" t="s">
        <v>37</v>
      </c>
      <c r="E12" s="2" t="s">
        <v>33</v>
      </c>
      <c r="F12" s="10">
        <f>+[9]Main!$C$6</f>
        <v>93.15</v>
      </c>
      <c r="G12" s="8">
        <f>+[9]Main!$C$7</f>
        <v>103.23874000000001</v>
      </c>
      <c r="H12" s="8">
        <f>+[9]Main!$C$8</f>
        <v>9616.6886310000009</v>
      </c>
      <c r="I12" s="8">
        <f>+[9]Main!$C$11</f>
        <v>578.44299999999998</v>
      </c>
      <c r="J12" s="8">
        <f>+[9]Main!$C$12</f>
        <v>9038.2456310000016</v>
      </c>
      <c r="K12" s="18" t="str">
        <f>+[9]Main!$C$29</f>
        <v>Q225</v>
      </c>
      <c r="L12" s="13">
        <f>+[9]Main!$D$29</f>
        <v>45617</v>
      </c>
      <c r="Q12" s="30">
        <f>+[9]Main!$C$34</f>
        <v>12.550196094773931</v>
      </c>
      <c r="V12" s="12">
        <f>+'[9]Financial Model'!$K$29</f>
        <v>0.73589027689827868</v>
      </c>
      <c r="W12" s="12">
        <f>+'[9]Financial Model'!$K$30</f>
        <v>-9.7397962120775908E-2</v>
      </c>
      <c r="X12" s="12">
        <f>+'[9]Financial Model'!$K$31</f>
        <v>-0.141693051637787</v>
      </c>
      <c r="Y12" s="12">
        <f>+'[9]Financial Model'!$K$32</f>
        <v>-0.68840032926327432</v>
      </c>
      <c r="AA12" s="12">
        <f>+'[9]Financial Model'!$K$34</f>
        <v>0.18269430439859335</v>
      </c>
      <c r="AB12" s="12"/>
      <c r="AC12" s="12"/>
      <c r="AD12" s="12"/>
      <c r="AG12" s="18"/>
      <c r="AH12" s="29">
        <f>+[9]Main!$C$24</f>
        <v>2012</v>
      </c>
      <c r="AI12" s="29">
        <f>+[9]Main!$C$25</f>
        <v>2018</v>
      </c>
      <c r="AJ12" s="18" t="str">
        <f>+[9]Main!$C$23</f>
        <v>Mountain View, CA</v>
      </c>
      <c r="AL12" s="18">
        <f>+[9]Main!$C$38</f>
        <v>64</v>
      </c>
      <c r="AN12" s="2" t="s">
        <v>84</v>
      </c>
      <c r="AO12" s="2" t="s">
        <v>85</v>
      </c>
    </row>
    <row r="13" spans="2:41">
      <c r="B13" s="5" t="s">
        <v>61</v>
      </c>
      <c r="C13" s="1" t="s">
        <v>62</v>
      </c>
      <c r="D13" s="2" t="s">
        <v>50</v>
      </c>
      <c r="E13" s="2" t="s">
        <v>33</v>
      </c>
      <c r="F13" s="10">
        <f>+[10]Main!$C$6*Currencies!C3</f>
        <v>4.3290000000000006</v>
      </c>
      <c r="G13" s="8">
        <f>+[10]Main!$C$7</f>
        <v>193.41571500000001</v>
      </c>
      <c r="H13" s="8">
        <f>G13*F13</f>
        <v>837.29663023500018</v>
      </c>
      <c r="I13" s="8">
        <f>[10]Main!$C$11*Currencies!D3</f>
        <v>20.227692307692305</v>
      </c>
      <c r="J13" s="8">
        <f>H13-I13</f>
        <v>817.06893792730784</v>
      </c>
      <c r="K13" s="2" t="str">
        <f>[10]Main!$C$30</f>
        <v>H124</v>
      </c>
      <c r="L13" s="13">
        <f>[10]Main!$D$30</f>
        <v>45559</v>
      </c>
      <c r="Q13" s="30">
        <f>+[10]Main!$C$35</f>
        <v>3.1948131495535712</v>
      </c>
      <c r="R13" s="30">
        <f>+[10]Main!$C$36</f>
        <v>2.6442251407476842</v>
      </c>
      <c r="S13" s="30">
        <f>+[10]Main!$C$38</f>
        <v>15.436558542879432</v>
      </c>
      <c r="V13" s="12">
        <f>+'[10]Financial Model'!$F$42</f>
        <v>0.23750000000000002</v>
      </c>
      <c r="W13" s="12">
        <f>+'[10]Financial Model'!$F$43</f>
        <v>7.9166666666666677E-2</v>
      </c>
      <c r="X13" s="12">
        <f>+'[10]Financial Model'!$F$44</f>
        <v>5.2777777777777792E-2</v>
      </c>
      <c r="Y13" s="12">
        <f>+'[10]Financial Model'!$F$45</f>
        <v>0.29629629629629622</v>
      </c>
      <c r="AA13" s="12">
        <f>+'[10]Financial Model'!$F$30</f>
        <v>0.61254199328107539</v>
      </c>
      <c r="AB13" s="12">
        <f>+'[10]Financial Model'!$K$30</f>
        <v>0.41487498602675421</v>
      </c>
      <c r="AC13" s="12">
        <f>+'[10]Financial Model'!$J$30</f>
        <v>0.33624730593867169</v>
      </c>
      <c r="AD13" s="2" t="s">
        <v>46</v>
      </c>
      <c r="AG13" s="2">
        <f>+[10]Main!$C$27</f>
        <v>115</v>
      </c>
      <c r="AH13" s="2">
        <f>+[10]Main!$C$24</f>
        <v>2012</v>
      </c>
      <c r="AI13" s="28">
        <f>+[10]Main!$C$25</f>
        <v>45444</v>
      </c>
      <c r="AJ13" s="2" t="str">
        <f>[10]Main!$C$23</f>
        <v>Cambridge, UK</v>
      </c>
      <c r="AN13" s="2" t="s">
        <v>64</v>
      </c>
      <c r="AO13" s="2" t="s">
        <v>65</v>
      </c>
    </row>
    <row r="14" spans="2:41">
      <c r="F14" s="10" t="s">
        <v>66</v>
      </c>
    </row>
    <row r="16" spans="2:41">
      <c r="B16" s="5" t="s">
        <v>67</v>
      </c>
      <c r="C16" s="1" t="s">
        <v>70</v>
      </c>
      <c r="K16" s="2" t="str">
        <f>+[11]Main!$C$28</f>
        <v>Q123</v>
      </c>
      <c r="L16" s="13">
        <f>+[11]Main!$D$28</f>
        <v>45055</v>
      </c>
    </row>
    <row r="19" spans="2:4">
      <c r="B19" s="1" t="s">
        <v>56</v>
      </c>
      <c r="C19" s="1" t="s">
        <v>58</v>
      </c>
      <c r="D19" s="2" t="s">
        <v>57</v>
      </c>
    </row>
    <row r="21" spans="2:4">
      <c r="B21" s="1" t="s">
        <v>72</v>
      </c>
      <c r="C21" s="1" t="s">
        <v>73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3" r:id="rId5" xr:uid="{9E99E74D-49BE-4AB2-9A4F-760C29667821}"/>
    <hyperlink ref="B16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2" r:id="rId10" xr:uid="{14914AE3-9BC8-4B00-947F-C4331DFB8EED}"/>
    <hyperlink ref="B6" r:id="rId11" xr:uid="{E635F2D9-F8A1-4114-ACFA-1F5C37840BC2}"/>
    <hyperlink ref="B5" r:id="rId12" xr:uid="{5EFB43D2-FEF7-4D4A-9ED9-38F476FBD5D7}"/>
  </hyperlinks>
  <pageMargins left="0.7" right="0.7" top="0.75" bottom="0.75" header="0.3" footer="0.3"/>
  <pageSetup orientation="portrait" r:id="rId13"/>
  <ignoredErrors>
    <ignoredError sqref="H12 J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2024-11-25T20:52:36Z</dcterms:modified>
</cp:coreProperties>
</file>