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A19D411-AB6F-42B0-8291-F3FAF46E14D4}" xr6:coauthVersionLast="36" xr6:coauthVersionMax="36" xr10:uidLastSave="{00000000-0000-0000-0000-000000000000}"/>
  <bookViews>
    <workbookView xWindow="0" yWindow="0" windowWidth="20370" windowHeight="9195" xr2:uid="{F4CD3BB1-8F16-4063-8DA3-9F14AE14E5E0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9" i="1"/>
  <c r="C10" i="1"/>
  <c r="C40" i="1"/>
  <c r="Q84" i="2"/>
  <c r="P82" i="2"/>
  <c r="P81" i="2"/>
  <c r="P80" i="2"/>
  <c r="AB82" i="2"/>
  <c r="AC82" i="2"/>
  <c r="AB81" i="2"/>
  <c r="AC81" i="2"/>
  <c r="D11" i="1"/>
  <c r="D10" i="1"/>
  <c r="D9" i="1"/>
  <c r="D7" i="1"/>
  <c r="C38" i="1"/>
  <c r="P20" i="2"/>
  <c r="Q20" i="2"/>
  <c r="AC19" i="2"/>
  <c r="AB25" i="2"/>
  <c r="AB24" i="2"/>
  <c r="AB23" i="2"/>
  <c r="AB22" i="2"/>
  <c r="AB6" i="2"/>
  <c r="AB9" i="2" s="1"/>
  <c r="AB13" i="2" s="1"/>
  <c r="AB15" i="2" s="1"/>
  <c r="AB16" i="2" s="1"/>
  <c r="P25" i="2"/>
  <c r="P24" i="2"/>
  <c r="P23" i="2"/>
  <c r="P22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AC25" i="2"/>
  <c r="AC24" i="2"/>
  <c r="AC23" i="2"/>
  <c r="AC22" i="2"/>
  <c r="AC16" i="2"/>
  <c r="AC15" i="2"/>
  <c r="AC6" i="2"/>
  <c r="AC9" i="2" s="1"/>
  <c r="AC13" i="2" s="1"/>
  <c r="C35" i="1"/>
  <c r="O81" i="2"/>
  <c r="O82" i="2"/>
  <c r="Q81" i="2"/>
  <c r="Q82" i="2" s="1"/>
  <c r="C11" i="1" l="1"/>
  <c r="Q35" i="2" l="1"/>
  <c r="Q33" i="2"/>
  <c r="Q31" i="2"/>
  <c r="Q29" i="2"/>
  <c r="Q67" i="2" l="1"/>
  <c r="Q66" i="2"/>
  <c r="Q65" i="2"/>
  <c r="Q63" i="2"/>
  <c r="Q62" i="2"/>
  <c r="Q60" i="2"/>
  <c r="O52" i="2"/>
  <c r="O57" i="2" s="1"/>
  <c r="O47" i="2"/>
  <c r="O43" i="2"/>
  <c r="Q43" i="2"/>
  <c r="Q47" i="2" s="1"/>
  <c r="Q52" i="2"/>
  <c r="Q57" i="2"/>
  <c r="C7" i="1"/>
  <c r="Q19" i="2"/>
  <c r="O25" i="2"/>
  <c r="O24" i="2"/>
  <c r="O23" i="2"/>
  <c r="O22" i="2"/>
  <c r="Q25" i="2"/>
  <c r="Q24" i="2"/>
  <c r="Q23" i="2"/>
  <c r="Q22" i="2"/>
  <c r="O6" i="2" l="1"/>
  <c r="O9" i="2" s="1"/>
  <c r="O13" i="2" s="1"/>
  <c r="O15" i="2" s="1"/>
  <c r="Q16" i="2"/>
  <c r="Q15" i="2"/>
  <c r="Q13" i="2"/>
  <c r="Q9" i="2"/>
  <c r="Q6" i="2"/>
  <c r="C8" i="1"/>
  <c r="C36" i="1" s="1"/>
  <c r="C12" i="1" l="1"/>
</calcChain>
</file>

<file path=xl/sharedStrings.xml><?xml version="1.0" encoding="utf-8"?>
<sst xmlns="http://schemas.openxmlformats.org/spreadsheetml/2006/main" count="152" uniqueCount="139">
  <si>
    <t>£BOKU</t>
  </si>
  <si>
    <t>BOKU,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</si>
  <si>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</si>
  <si>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</si>
  <si>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</si>
  <si>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</si>
  <si>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</si>
  <si>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</si>
  <si>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</si>
  <si>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</si>
  <si>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</si>
  <si>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</si>
  <si>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</si>
  <si>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</si>
  <si>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CTO</t>
  </si>
  <si>
    <t>Profile</t>
  </si>
  <si>
    <t>HQ</t>
  </si>
  <si>
    <t>Founded</t>
  </si>
  <si>
    <t>IPO</t>
  </si>
  <si>
    <t>DAU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</si>
  <si>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</si>
  <si>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</si>
  <si>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</si>
  <si>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</si>
  <si>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</si>
  <si>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</si>
  <si>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</si>
  <si>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</si>
  <si>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Stockopedia</t>
  </si>
  <si>
    <t>Key Events</t>
  </si>
  <si>
    <t>Provides local payment solutions for merchants in the Americas, APA, Europe, Middle East &amp; Africa.</t>
  </si>
  <si>
    <t>Digital payment solutions including mobile wallets, digital carrier billing &amp; real time account</t>
  </si>
  <si>
    <t>San Francisco, CA</t>
  </si>
  <si>
    <t>Red Flags</t>
  </si>
  <si>
    <t>Link</t>
  </si>
  <si>
    <t>H117</t>
  </si>
  <si>
    <t>H217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</si>
  <si>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</si>
  <si>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</si>
  <si>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</si>
  <si>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</si>
  <si>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</si>
  <si>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</si>
  <si>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</si>
  <si>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</si>
  <si>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</si>
  <si>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</si>
  <si>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</si>
  <si>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</si>
  <si>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H124</t>
  </si>
  <si>
    <t>H225</t>
  </si>
  <si>
    <t>H224</t>
  </si>
  <si>
    <t>H125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</si>
  <si>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</si>
  <si>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</si>
  <si>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</si>
  <si>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</si>
  <si>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</si>
  <si>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</si>
  <si>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</si>
  <si>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</si>
  <si>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</si>
  <si>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</si>
  <si>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</si>
  <si>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</si>
  <si>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</si>
  <si>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</si>
  <si>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 xml:space="preserve">Contract with Amazon Japan to support eCommerce sales </t>
  </si>
  <si>
    <t>Revenue</t>
  </si>
  <si>
    <t>COGS</t>
  </si>
  <si>
    <t>Gross Profit</t>
  </si>
  <si>
    <t>Admin Expenses</t>
  </si>
  <si>
    <t>Other Income</t>
  </si>
  <si>
    <t>Operating Income</t>
  </si>
  <si>
    <t>Gain on Warrants</t>
  </si>
  <si>
    <t>Finance Income</t>
  </si>
  <si>
    <t>Finance Expense</t>
  </si>
  <si>
    <t>Pretax Income</t>
  </si>
  <si>
    <t>Taxes</t>
  </si>
  <si>
    <t>Net Income</t>
  </si>
  <si>
    <t>EPS</t>
  </si>
  <si>
    <t>(USD Millions)</t>
  </si>
  <si>
    <t>Revenue Y/Y</t>
  </si>
  <si>
    <t>Revenue H/H</t>
  </si>
  <si>
    <t>Gross Margin</t>
  </si>
  <si>
    <t>Operating Margin</t>
  </si>
  <si>
    <t>Net Margin</t>
  </si>
  <si>
    <t>Tax Rate</t>
  </si>
  <si>
    <t>Balance Sheet</t>
  </si>
  <si>
    <t>PP&amp;E</t>
  </si>
  <si>
    <t>ROU</t>
  </si>
  <si>
    <t>Intangibles</t>
  </si>
  <si>
    <t>Warrant Contracts</t>
  </si>
  <si>
    <t>Deferred Taxes</t>
  </si>
  <si>
    <t>Total NCA</t>
  </si>
  <si>
    <t>A/R</t>
  </si>
  <si>
    <t>Assets</t>
  </si>
  <si>
    <t>A/P</t>
  </si>
  <si>
    <t>Lease Liabilities</t>
  </si>
  <si>
    <t>TCL</t>
  </si>
  <si>
    <t>Other Payables</t>
  </si>
  <si>
    <t>Warrant Liabilities</t>
  </si>
  <si>
    <t>Non-current Lease</t>
  </si>
  <si>
    <t>Liabilities</t>
  </si>
  <si>
    <t>S/E</t>
  </si>
  <si>
    <t>S/E+L</t>
  </si>
  <si>
    <t>Book Value</t>
  </si>
  <si>
    <t>Book Value per Share</t>
  </si>
  <si>
    <t>Net Cash (GBP)</t>
  </si>
  <si>
    <t>Share Price</t>
  </si>
  <si>
    <t>GBP-USD</t>
  </si>
  <si>
    <t>MC (GBP)</t>
  </si>
  <si>
    <t>EV (GBP)</t>
  </si>
  <si>
    <t>Cashflow Statement</t>
  </si>
  <si>
    <t>CFFO</t>
  </si>
  <si>
    <t>Stuart Neal</t>
  </si>
  <si>
    <t>Keith Butcher</t>
  </si>
  <si>
    <t>Headcount</t>
  </si>
  <si>
    <t>Non-Finance Metrics</t>
  </si>
  <si>
    <t>Total Payment Volumes</t>
  </si>
  <si>
    <t>TPV Y/Y</t>
  </si>
  <si>
    <t>Take Rates</t>
  </si>
  <si>
    <t>Take Rates Y/Y</t>
  </si>
  <si>
    <t>MAU</t>
  </si>
  <si>
    <t>MAU Y/Y</t>
  </si>
  <si>
    <t>New Users (6mo)</t>
  </si>
  <si>
    <t>New Users (6mo) Y/Y</t>
  </si>
  <si>
    <t>mil</t>
  </si>
  <si>
    <t>%</t>
  </si>
  <si>
    <t>$</t>
  </si>
  <si>
    <t>CapEX</t>
  </si>
  <si>
    <t>FCF</t>
  </si>
  <si>
    <t>FCF per Share</t>
  </si>
  <si>
    <t>Price / FCF</t>
  </si>
  <si>
    <t>USDGBP</t>
  </si>
  <si>
    <t>-</t>
  </si>
  <si>
    <t>P/FCF</t>
  </si>
  <si>
    <t>US Small Cap</t>
  </si>
  <si>
    <t>AIM Listed yet CA 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</si>
</sst>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3" formatCode="#,##0.0"/>
    <numFmt numFmtId="174" formatCode="#,##0;[Red]#,##0"/>
    <numFmt numFmtId="175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3" fontId="1" fillId="0" borderId="0" xfId="0" applyNumberFormat="1" applyFont="1" applyBorder="1"/>
    <xf numFmtId="3" fontId="1" fillId="0" borderId="7" xfId="0" applyNumberFormat="1" applyFont="1" applyBorder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7" fontId="2" fillId="2" borderId="4" xfId="0" applyNumberFormat="1" applyFont="1" applyFill="1" applyBorder="1" applyAlignment="1">
      <alignment horizontal="center"/>
    </xf>
    <xf numFmtId="0" fontId="5" fillId="4" borderId="0" xfId="1" applyFont="1" applyFill="1" applyBorder="1"/>
    <xf numFmtId="15" fontId="3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14" fontId="3" fillId="0" borderId="0" xfId="0" applyNumberFormat="1" applyFont="1" applyAlignment="1">
      <alignment horizontal="right"/>
    </xf>
    <xf numFmtId="3" fontId="1" fillId="0" borderId="0" xfId="0" applyNumberFormat="1" applyFont="1"/>
    <xf numFmtId="2" fontId="1" fillId="0" borderId="0" xfId="0" applyNumberFormat="1" applyFont="1"/>
    <xf numFmtId="0" fontId="6" fillId="0" borderId="0" xfId="0" applyFont="1" applyAlignment="1">
      <alignment horizontal="right"/>
    </xf>
    <xf numFmtId="9" fontId="1" fillId="0" borderId="0" xfId="0" applyNumberFormat="1" applyFont="1"/>
    <xf numFmtId="173" fontId="2" fillId="0" borderId="0" xfId="0" applyNumberFormat="1" applyFont="1"/>
    <xf numFmtId="173" fontId="1" fillId="0" borderId="0" xfId="0" applyNumberFormat="1" applyFont="1"/>
    <xf numFmtId="9" fontId="2" fillId="0" borderId="0" xfId="0" applyNumberFormat="1" applyFont="1"/>
    <xf numFmtId="0" fontId="2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173" fontId="2" fillId="5" borderId="0" xfId="0" applyNumberFormat="1" applyFont="1" applyFill="1"/>
    <xf numFmtId="173" fontId="1" fillId="5" borderId="0" xfId="0" applyNumberFormat="1" applyFont="1" applyFill="1"/>
    <xf numFmtId="2" fontId="1" fillId="5" borderId="0" xfId="0" applyNumberFormat="1" applyFont="1" applyFill="1"/>
    <xf numFmtId="3" fontId="1" fillId="5" borderId="0" xfId="0" applyNumberFormat="1" applyFont="1" applyFill="1"/>
    <xf numFmtId="9" fontId="2" fillId="5" borderId="0" xfId="0" applyNumberFormat="1" applyFont="1" applyFill="1"/>
    <xf numFmtId="0" fontId="1" fillId="5" borderId="0" xfId="0" applyFont="1" applyFill="1"/>
    <xf numFmtId="9" fontId="1" fillId="5" borderId="0" xfId="0" applyNumberFormat="1" applyFont="1" applyFill="1"/>
    <xf numFmtId="0" fontId="7" fillId="0" borderId="0" xfId="0" applyFont="1"/>
    <xf numFmtId="0" fontId="2" fillId="5" borderId="0" xfId="0" applyFont="1" applyFill="1"/>
    <xf numFmtId="0" fontId="8" fillId="0" borderId="0" xfId="0" applyFont="1"/>
    <xf numFmtId="0" fontId="8" fillId="5" borderId="0" xfId="0" applyFont="1" applyFill="1"/>
    <xf numFmtId="15" fontId="1" fillId="0" borderId="0" xfId="0" applyNumberFormat="1" applyFont="1"/>
    <xf numFmtId="10" fontId="1" fillId="0" borderId="0" xfId="0" applyNumberFormat="1" applyFont="1"/>
    <xf numFmtId="9" fontId="9" fillId="0" borderId="0" xfId="0" applyNumberFormat="1" applyFont="1" applyAlignment="1">
      <alignment horizontal="left" indent="1"/>
    </xf>
    <xf numFmtId="9" fontId="9" fillId="0" borderId="0" xfId="0" applyNumberFormat="1" applyFont="1"/>
    <xf numFmtId="9" fontId="9" fillId="5" borderId="0" xfId="0" applyNumberFormat="1" applyFont="1" applyFill="1"/>
    <xf numFmtId="174" fontId="1" fillId="0" borderId="0" xfId="0" applyNumberFormat="1" applyFont="1"/>
    <xf numFmtId="174" fontId="1" fillId="5" borderId="0" xfId="0" applyNumberFormat="1" applyFont="1" applyFill="1"/>
    <xf numFmtId="174" fontId="8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6" borderId="9" xfId="0" applyFont="1" applyFill="1" applyBorder="1"/>
    <xf numFmtId="0" fontId="1" fillId="6" borderId="10" xfId="0" applyFont="1" applyFill="1" applyBorder="1"/>
    <xf numFmtId="0" fontId="1" fillId="6" borderId="11" xfId="0" applyFont="1" applyFill="1" applyBorder="1"/>
    <xf numFmtId="175" fontId="1" fillId="4" borderId="0" xfId="0" applyNumberFormat="1" applyFont="1" applyFill="1" applyBorder="1" applyAlignment="1">
      <alignment horizontal="center"/>
    </xf>
    <xf numFmtId="175" fontId="1" fillId="4" borderId="5" xfId="0" applyNumberFormat="1" applyFont="1" applyFill="1" applyBorder="1" applyAlignment="1">
      <alignment horizontal="center"/>
    </xf>
    <xf numFmtId="14" fontId="3" fillId="5" borderId="0" xfId="0" applyNumberFormat="1" applyFont="1" applyFill="1" applyAlignment="1">
      <alignment horizontal="right"/>
    </xf>
    <xf numFmtId="0" fontId="5" fillId="5" borderId="0" xfId="1" applyFont="1" applyFill="1" applyAlignment="1">
      <alignment horizontal="right"/>
    </xf>
    <xf numFmtId="17" fontId="1" fillId="4" borderId="5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361950</xdr:colOff>
      <xdr:row>0</xdr:row>
      <xdr:rowOff>47625</xdr:rowOff>
    </xdr:from>
    <xdr:to>
      <xdr:col>3</xdr:col>
      <xdr:colOff>285750</xdr:colOff>
      <xdr:row>3</xdr:row>
      <xdr:rowOff>95250</xdr:rowOff>
    </xdr:to>
    <xdr:pic>
      <xdr:nvPicPr>
        <xdr:cNvPr id="2" name="Picture 1" descr="https://logo.clearbit.com/boku.com">
          <a:extLst>
            <a:ext uri="{FF2B5EF4-FFF2-40B4-BE49-F238E27FC236}">
              <a16:creationId xmlns:a16="http://schemas.microsoft.com/office/drawing/2014/main" id="{4AD30E14-74B6-4AA4-9E14-8C619EA96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476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disoninvestmentresearch.com/?ACT=18&amp;ID=34138" TargetMode="External"/><Relationship Id="rId1" Type="http://schemas.openxmlformats.org/officeDocument/2006/relationships/hyperlink" Target="https://investors.boku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p-boku-investors-2024.s3.eu-west-2.amazonaws.com/media/2024/04/Boku-Annual-Report-2023.pdf" TargetMode="External"/><Relationship Id="rId2" Type="http://schemas.openxmlformats.org/officeDocument/2006/relationships/hyperlink" Target="https://wp-boku-investors-2024.s3.eu-west-2.amazonaws.com/media/2024/04/Boku-Annual-Report-2023.pdf" TargetMode="External"/><Relationship Id="rId1" Type="http://schemas.openxmlformats.org/officeDocument/2006/relationships/hyperlink" Target="https://wp-boku-investors-2024.s3.eu-west-2.amazonaws.com/media/2024/09/Boku_Interim_Report_202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9DA1-C231-4FA7-B2C8-06B2E3A74D15}">
  <dimension ref="A2:S41"/>
  <sheetViews>
    <sheetView tabSelected="1" workbookViewId="0">
      <selection activeCell="C19" sqref="C19:D19"/>
    </sheetView>
  </sheetViews>
  <sheetFormatPr defaultRowHeight="12.75" x14ac:dyDescent="0.2"/>
  <cols>
    <col min="1" max="16384" width="9.140625" style="1"/>
  </cols>
  <sheetData>
    <row r="2" spans="1:19" x14ac:dyDescent="0.2">
      <c r="B2" s="2" t="s">
        <v>0</v>
      </c>
      <c r="F2" s="1" t="s">
        <v>30</v>
      </c>
    </row>
    <row r="3" spans="1:19" x14ac:dyDescent="0.2">
      <c r="B3" s="2" t="s">
        <v>1</v>
      </c>
      <c r="F3" s="1" t="s">
        <v>31</v>
      </c>
    </row>
    <row r="5" spans="1:19" x14ac:dyDescent="0.2">
      <c r="B5" s="3" t="s">
        <v>2</v>
      </c>
      <c r="C5" s="4"/>
      <c r="D5" s="5"/>
      <c r="G5" s="3" t="s">
        <v>29</v>
      </c>
      <c r="H5" s="4"/>
      <c r="I5" s="4"/>
      <c r="J5" s="4"/>
      <c r="K5" s="4"/>
      <c r="L5" s="4"/>
      <c r="M5" s="4"/>
      <c r="N5" s="4"/>
      <c r="O5" s="5"/>
      <c r="S5" s="2" t="s">
        <v>33</v>
      </c>
    </row>
    <row r="6" spans="1:19" x14ac:dyDescent="0.2">
      <c r="B6" s="6" t="s">
        <v>3</v>
      </c>
      <c r="C6" s="7">
        <v>1.6107</v>
      </c>
      <c r="D6" s="22"/>
      <c r="G6" s="15"/>
      <c r="H6" s="18"/>
      <c r="I6" s="18"/>
      <c r="J6" s="18"/>
      <c r="K6" s="18"/>
      <c r="L6" s="18"/>
      <c r="M6" s="18"/>
      <c r="N6" s="18"/>
      <c r="O6" s="19"/>
      <c r="S6" s="1" t="s">
        <v>138</v>
      </c>
    </row>
    <row r="7" spans="1:19" x14ac:dyDescent="0.2">
      <c r="B7" s="6" t="s">
        <v>4</v>
      </c>
      <c r="C7" s="24">
        <f>+'Financial Model'!Q17</f>
        <v>303.02861300000001</v>
      </c>
      <c r="D7" s="22" t="str">
        <f>+$C$30</f>
        <v>H124</v>
      </c>
      <c r="G7" s="15"/>
      <c r="H7" s="18"/>
      <c r="I7" s="18"/>
      <c r="J7" s="18"/>
      <c r="K7" s="18"/>
      <c r="L7" s="18"/>
      <c r="M7" s="18"/>
      <c r="N7" s="18"/>
      <c r="O7" s="19"/>
      <c r="S7" s="1" t="s">
        <v>137</v>
      </c>
    </row>
    <row r="8" spans="1:19" x14ac:dyDescent="0.2">
      <c r="A8" s="34"/>
      <c r="B8" s="6" t="s">
        <v>5</v>
      </c>
      <c r="C8" s="24">
        <f>C6*C7</f>
        <v>488.08818695910003</v>
      </c>
      <c r="D8" s="22"/>
      <c r="G8" s="29">
        <v>45597</v>
      </c>
      <c r="H8" s="30" t="s">
        <v>67</v>
      </c>
      <c r="I8" s="18"/>
      <c r="J8" s="18"/>
      <c r="K8" s="18"/>
      <c r="L8" s="18"/>
      <c r="M8" s="18"/>
      <c r="N8" s="18"/>
      <c r="O8" s="19"/>
    </row>
    <row r="9" spans="1:19" x14ac:dyDescent="0.2">
      <c r="A9" s="34"/>
      <c r="B9" s="6" t="s">
        <v>6</v>
      </c>
      <c r="C9" s="24">
        <f>+'Financial Model'!Q65*$C$13</f>
        <v>117.49354000000001</v>
      </c>
      <c r="D9" s="22" t="str">
        <f t="shared" ref="D9:D11" si="0">+$C$30</f>
        <v>H124</v>
      </c>
      <c r="G9" s="15"/>
      <c r="H9" s="18"/>
      <c r="I9" s="18"/>
      <c r="J9" s="18"/>
      <c r="K9" s="18"/>
      <c r="L9" s="18"/>
      <c r="M9" s="18"/>
      <c r="N9" s="18"/>
      <c r="O9" s="19"/>
    </row>
    <row r="10" spans="1:19" x14ac:dyDescent="0.2">
      <c r="A10" s="34"/>
      <c r="B10" s="6" t="s">
        <v>7</v>
      </c>
      <c r="C10" s="24">
        <f>+'Financial Model'!Q66*$C$13</f>
        <v>7.1803100000000004</v>
      </c>
      <c r="D10" s="22" t="str">
        <f t="shared" si="0"/>
        <v>H124</v>
      </c>
      <c r="G10" s="15"/>
      <c r="H10" s="18"/>
      <c r="I10" s="18"/>
      <c r="J10" s="18"/>
      <c r="K10" s="18"/>
      <c r="L10" s="18"/>
      <c r="M10" s="18"/>
      <c r="N10" s="18"/>
      <c r="O10" s="19"/>
    </row>
    <row r="11" spans="1:19" x14ac:dyDescent="0.2">
      <c r="A11" s="34"/>
      <c r="B11" s="6" t="s">
        <v>8</v>
      </c>
      <c r="C11" s="24">
        <f>C9-C10</f>
        <v>110.31323</v>
      </c>
      <c r="D11" s="22" t="str">
        <f t="shared" si="0"/>
        <v>H124</v>
      </c>
      <c r="G11" s="15"/>
      <c r="H11" s="18"/>
      <c r="I11" s="18"/>
      <c r="J11" s="18"/>
      <c r="K11" s="18"/>
      <c r="L11" s="18"/>
      <c r="M11" s="18"/>
      <c r="N11" s="18"/>
      <c r="O11" s="19"/>
    </row>
    <row r="12" spans="1:19" x14ac:dyDescent="0.2">
      <c r="A12" s="34"/>
      <c r="B12" s="8" t="s">
        <v>9</v>
      </c>
      <c r="C12" s="25">
        <f>C8-C11</f>
        <v>377.7749569591</v>
      </c>
      <c r="D12" s="23"/>
      <c r="G12" s="15"/>
      <c r="H12" s="18"/>
      <c r="I12" s="18"/>
      <c r="J12" s="18"/>
      <c r="K12" s="18"/>
      <c r="L12" s="18"/>
      <c r="M12" s="18"/>
      <c r="N12" s="18"/>
      <c r="O12" s="19"/>
    </row>
    <row r="13" spans="1:19" x14ac:dyDescent="0.2">
      <c r="B13" s="64" t="s">
        <v>134</v>
      </c>
      <c r="C13" s="65">
        <v>0.79</v>
      </c>
      <c r="D13" s="66"/>
      <c r="G13" s="15"/>
      <c r="H13" s="18"/>
      <c r="I13" s="18"/>
      <c r="J13" s="18"/>
      <c r="K13" s="18"/>
      <c r="L13" s="18"/>
      <c r="M13" s="18"/>
      <c r="N13" s="18"/>
      <c r="O13" s="19"/>
    </row>
    <row r="14" spans="1:19" x14ac:dyDescent="0.2">
      <c r="G14" s="15"/>
      <c r="H14" s="18"/>
      <c r="I14" s="18"/>
      <c r="J14" s="18"/>
      <c r="K14" s="18"/>
      <c r="L14" s="18"/>
      <c r="M14" s="18"/>
      <c r="N14" s="18"/>
      <c r="O14" s="19"/>
    </row>
    <row r="15" spans="1:19" x14ac:dyDescent="0.2">
      <c r="B15" s="3" t="s">
        <v>10</v>
      </c>
      <c r="C15" s="4"/>
      <c r="D15" s="5"/>
      <c r="G15" s="15"/>
      <c r="H15" s="18"/>
      <c r="I15" s="18"/>
      <c r="J15" s="18"/>
      <c r="K15" s="18"/>
      <c r="L15" s="18"/>
      <c r="M15" s="18"/>
      <c r="N15" s="18"/>
      <c r="O15" s="19"/>
    </row>
    <row r="16" spans="1:19" x14ac:dyDescent="0.2">
      <c r="A16" s="54">
        <v>45597</v>
      </c>
      <c r="B16" s="9" t="s">
        <v>11</v>
      </c>
      <c r="C16" s="10" t="s">
        <v>115</v>
      </c>
      <c r="D16" s="11"/>
      <c r="G16" s="15"/>
      <c r="H16" s="18"/>
      <c r="I16" s="18"/>
      <c r="J16" s="18"/>
      <c r="K16" s="18"/>
      <c r="L16" s="18"/>
      <c r="M16" s="18"/>
      <c r="N16" s="18"/>
      <c r="O16" s="19"/>
    </row>
    <row r="17" spans="2:15" x14ac:dyDescent="0.2">
      <c r="B17" s="9" t="s">
        <v>12</v>
      </c>
      <c r="C17" s="10" t="s">
        <v>116</v>
      </c>
      <c r="D17" s="11"/>
      <c r="G17" s="15"/>
      <c r="H17" s="18"/>
      <c r="I17" s="18"/>
      <c r="J17" s="18"/>
      <c r="K17" s="18"/>
      <c r="L17" s="18"/>
      <c r="M17" s="18"/>
      <c r="N17" s="18"/>
      <c r="O17" s="19"/>
    </row>
    <row r="18" spans="2:15" x14ac:dyDescent="0.2">
      <c r="B18" s="9" t="s">
        <v>14</v>
      </c>
      <c r="C18" s="10"/>
      <c r="D18" s="11"/>
      <c r="G18" s="15"/>
      <c r="H18" s="18"/>
      <c r="I18" s="18"/>
      <c r="J18" s="18"/>
      <c r="K18" s="18"/>
      <c r="L18" s="18"/>
      <c r="M18" s="18"/>
      <c r="N18" s="18"/>
      <c r="O18" s="19"/>
    </row>
    <row r="19" spans="2:15" x14ac:dyDescent="0.2">
      <c r="B19" s="12" t="s">
        <v>13</v>
      </c>
      <c r="C19" s="13"/>
      <c r="D19" s="14"/>
      <c r="G19" s="15"/>
      <c r="H19" s="18"/>
      <c r="I19" s="18"/>
      <c r="J19" s="18"/>
      <c r="K19" s="18"/>
      <c r="L19" s="18"/>
      <c r="M19" s="18"/>
      <c r="N19" s="18"/>
      <c r="O19" s="19"/>
    </row>
    <row r="20" spans="2:15" x14ac:dyDescent="0.2">
      <c r="G20" s="15"/>
      <c r="H20" s="18"/>
      <c r="I20" s="18"/>
      <c r="J20" s="18"/>
      <c r="K20" s="18"/>
      <c r="L20" s="18"/>
      <c r="M20" s="18"/>
      <c r="N20" s="18"/>
      <c r="O20" s="19"/>
    </row>
    <row r="21" spans="2:15" x14ac:dyDescent="0.2">
      <c r="G21" s="15"/>
      <c r="H21" s="18"/>
      <c r="I21" s="18"/>
      <c r="J21" s="18"/>
      <c r="K21" s="18"/>
      <c r="L21" s="18"/>
      <c r="M21" s="18"/>
      <c r="N21" s="18"/>
      <c r="O21" s="19"/>
    </row>
    <row r="22" spans="2:15" x14ac:dyDescent="0.2">
      <c r="B22" s="3" t="s">
        <v>15</v>
      </c>
      <c r="C22" s="4"/>
      <c r="D22" s="5"/>
      <c r="G22" s="15"/>
      <c r="H22" s="18"/>
      <c r="I22" s="18"/>
      <c r="J22" s="18"/>
      <c r="K22" s="18"/>
      <c r="L22" s="18"/>
      <c r="M22" s="18"/>
      <c r="N22" s="18"/>
      <c r="O22" s="19"/>
    </row>
    <row r="23" spans="2:15" x14ac:dyDescent="0.2">
      <c r="B23" s="15" t="s">
        <v>16</v>
      </c>
      <c r="C23" s="10" t="s">
        <v>32</v>
      </c>
      <c r="D23" s="11"/>
      <c r="G23" s="15"/>
      <c r="H23" s="18"/>
      <c r="I23" s="18"/>
      <c r="J23" s="18"/>
      <c r="K23" s="18"/>
      <c r="L23" s="18"/>
      <c r="M23" s="18"/>
      <c r="N23" s="18"/>
      <c r="O23" s="19"/>
    </row>
    <row r="24" spans="2:15" x14ac:dyDescent="0.2">
      <c r="B24" s="15" t="s">
        <v>17</v>
      </c>
      <c r="C24" s="10">
        <v>2008</v>
      </c>
      <c r="D24" s="11"/>
      <c r="G24" s="15"/>
      <c r="H24" s="18"/>
      <c r="I24" s="18"/>
      <c r="J24" s="18"/>
      <c r="K24" s="18"/>
      <c r="L24" s="18"/>
      <c r="M24" s="18"/>
      <c r="N24" s="18"/>
      <c r="O24" s="19"/>
    </row>
    <row r="25" spans="2:15" x14ac:dyDescent="0.2">
      <c r="B25" s="15" t="s">
        <v>18</v>
      </c>
      <c r="C25" s="10">
        <v>2017</v>
      </c>
      <c r="D25" s="11"/>
      <c r="G25" s="17"/>
      <c r="H25" s="20"/>
      <c r="I25" s="20"/>
      <c r="J25" s="20"/>
      <c r="K25" s="20"/>
      <c r="L25" s="20"/>
      <c r="M25" s="20"/>
      <c r="N25" s="20"/>
      <c r="O25" s="21"/>
    </row>
    <row r="26" spans="2:15" x14ac:dyDescent="0.2">
      <c r="B26" s="15"/>
      <c r="C26" s="10"/>
      <c r="D26" s="11"/>
    </row>
    <row r="27" spans="2:15" x14ac:dyDescent="0.2">
      <c r="B27" s="15" t="s">
        <v>19</v>
      </c>
      <c r="C27" s="10"/>
      <c r="D27" s="11"/>
    </row>
    <row r="28" spans="2:15" x14ac:dyDescent="0.2">
      <c r="B28" s="15" t="s">
        <v>117</v>
      </c>
      <c r="C28" s="10"/>
      <c r="D28" s="11"/>
    </row>
    <row r="29" spans="2:15" x14ac:dyDescent="0.2">
      <c r="B29" s="15"/>
      <c r="C29" s="10"/>
      <c r="D29" s="11"/>
    </row>
    <row r="30" spans="2:15" x14ac:dyDescent="0.2">
      <c r="B30" s="15" t="s">
        <v>20</v>
      </c>
      <c r="C30" s="16" t="s">
        <v>49</v>
      </c>
      <c r="D30" s="71">
        <v>45536</v>
      </c>
    </row>
    <row r="31" spans="2:15" x14ac:dyDescent="0.2">
      <c r="B31" s="17" t="s">
        <v>21</v>
      </c>
      <c r="C31" s="72" t="s">
        <v>34</v>
      </c>
      <c r="D31" s="73"/>
    </row>
    <row r="34" spans="2:4" x14ac:dyDescent="0.2">
      <c r="B34" s="3" t="s">
        <v>22</v>
      </c>
      <c r="C34" s="4"/>
      <c r="D34" s="5"/>
    </row>
    <row r="35" spans="2:4" x14ac:dyDescent="0.2">
      <c r="B35" s="15" t="s">
        <v>23</v>
      </c>
      <c r="C35" s="67">
        <f>+C6/('Financial Model'!Q63*Main!C13)</f>
        <v>4.4631448966950336</v>
      </c>
      <c r="D35" s="68"/>
    </row>
    <row r="36" spans="2:4" x14ac:dyDescent="0.2">
      <c r="B36" s="15" t="s">
        <v>24</v>
      </c>
      <c r="C36" s="67">
        <f>+C8/(SUM('Financial Model'!P4:Q4)*Main!$C$13)</f>
        <v>6.7280098883751904</v>
      </c>
      <c r="D36" s="68"/>
    </row>
    <row r="37" spans="2:4" x14ac:dyDescent="0.2">
      <c r="B37" s="15" t="s">
        <v>25</v>
      </c>
      <c r="C37" s="67">
        <f>+C12/(SUM('Financial Model'!P4:Q4)*C13)</f>
        <v>5.2074065996895751</v>
      </c>
      <c r="D37" s="68"/>
    </row>
    <row r="38" spans="2:4" x14ac:dyDescent="0.2">
      <c r="B38" s="15" t="s">
        <v>26</v>
      </c>
      <c r="C38" s="67">
        <f>+C6/(SUM('Financial Model'!P16:Q16)*Main!C13)</f>
        <v>84.972354260847055</v>
      </c>
      <c r="D38" s="68"/>
    </row>
    <row r="39" spans="2:4" x14ac:dyDescent="0.2">
      <c r="B39" s="15" t="s">
        <v>27</v>
      </c>
      <c r="C39" s="10"/>
      <c r="D39" s="11"/>
    </row>
    <row r="40" spans="2:4" x14ac:dyDescent="0.2">
      <c r="B40" s="15" t="s">
        <v>136</v>
      </c>
      <c r="C40" s="67">
        <f>+C6/('Financial Model'!Q84*Main!C13)</f>
        <v>15.357141210745286</v>
      </c>
      <c r="D40" s="68"/>
    </row>
    <row r="41" spans="2:4" x14ac:dyDescent="0.2">
      <c r="B41" s="17" t="s">
        <v>28</v>
      </c>
      <c r="C41" s="13">
        <v>38</v>
      </c>
      <c r="D41" s="14"/>
    </row>
  </sheetData>
  <mergeCells count="24">
    <mergeCell ref="C37:D37"/>
    <mergeCell ref="C38:D38"/>
    <mergeCell ref="C39:D39"/>
    <mergeCell ref="C41:D41"/>
    <mergeCell ref="G5:O5"/>
    <mergeCell ref="C28:D28"/>
    <mergeCell ref="C40:D40"/>
    <mergeCell ref="C29:D29"/>
    <mergeCell ref="C31:D31"/>
    <mergeCell ref="B34:D34"/>
    <mergeCell ref="C35:D35"/>
    <mergeCell ref="C36:D36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  <mergeCell ref="C19:D19"/>
  </mergeCells>
  <hyperlinks>
    <hyperlink ref="C31:D31" r:id="rId1" display="Link" xr:uid="{9A9A395C-9AC6-463B-A9F5-12C78A210900}"/>
    <hyperlink ref="H8" r:id="rId2" display="Contract with Amazon to support local payments for Prime Video in SE Asia" xr:uid="{00F997CC-CDFD-4824-B364-C1A74AA7E4B2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60AC-618D-4C7C-8243-B9DE8B3E2D41}">
  <dimension ref="A1:AJ85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E28" sqref="E28"/>
    </sheetView>
  </sheetViews>
  <sheetFormatPr defaultRowHeight="12.75" x14ac:dyDescent="0.2"/>
  <cols>
    <col min="1" max="1" width="4.28515625" style="1" customWidth="1"/>
    <col min="2" max="2" width="21.140625" style="1" bestFit="1" customWidth="1"/>
    <col min="3" max="3" width="9.140625" style="1"/>
    <col min="4" max="4" width="9.140625" style="48"/>
    <col min="5" max="5" width="9.140625" style="1"/>
    <col min="6" max="6" width="9.140625" style="48"/>
    <col min="7" max="7" width="9.140625" style="1"/>
    <col min="8" max="8" width="9.140625" style="48"/>
    <col min="9" max="9" width="9.140625" style="1"/>
    <col min="10" max="10" width="9.140625" style="48"/>
    <col min="11" max="11" width="9.140625" style="1"/>
    <col min="12" max="12" width="9.140625" style="48"/>
    <col min="13" max="13" width="9.140625" style="1"/>
    <col min="14" max="14" width="9.140625" style="48"/>
    <col min="15" max="15" width="9.140625" style="1"/>
    <col min="16" max="16" width="9.140625" style="48"/>
    <col min="17" max="17" width="9.140625" style="1"/>
    <col min="18" max="18" width="9.140625" style="48"/>
    <col min="19" max="19" width="9.140625" style="1"/>
    <col min="20" max="20" width="9.140625" style="48"/>
    <col min="21" max="16384" width="9.140625" style="1"/>
  </cols>
  <sheetData>
    <row r="1" spans="2:36" s="28" customFormat="1" x14ac:dyDescent="0.2">
      <c r="B1" s="36" t="s">
        <v>81</v>
      </c>
      <c r="C1" s="28" t="s">
        <v>35</v>
      </c>
      <c r="D1" s="41" t="s">
        <v>36</v>
      </c>
      <c r="E1" s="28" t="s">
        <v>37</v>
      </c>
      <c r="F1" s="41" t="s">
        <v>38</v>
      </c>
      <c r="G1" s="28" t="s">
        <v>39</v>
      </c>
      <c r="H1" s="41" t="s">
        <v>40</v>
      </c>
      <c r="I1" s="28" t="s">
        <v>41</v>
      </c>
      <c r="J1" s="41" t="s">
        <v>42</v>
      </c>
      <c r="K1" s="28" t="s">
        <v>43</v>
      </c>
      <c r="L1" s="41" t="s">
        <v>44</v>
      </c>
      <c r="M1" s="28" t="s">
        <v>45</v>
      </c>
      <c r="N1" s="41" t="s">
        <v>46</v>
      </c>
      <c r="O1" s="28" t="s">
        <v>47</v>
      </c>
      <c r="P1" s="70" t="s">
        <v>48</v>
      </c>
      <c r="Q1" s="32" t="s">
        <v>49</v>
      </c>
      <c r="R1" s="41" t="s">
        <v>51</v>
      </c>
      <c r="S1" s="28" t="s">
        <v>52</v>
      </c>
      <c r="T1" s="41" t="s">
        <v>50</v>
      </c>
      <c r="W1" s="28" t="s">
        <v>53</v>
      </c>
      <c r="X1" s="28" t="s">
        <v>54</v>
      </c>
      <c r="Y1" s="28" t="s">
        <v>55</v>
      </c>
      <c r="Z1" s="28" t="s">
        <v>56</v>
      </c>
      <c r="AA1" s="28" t="s">
        <v>57</v>
      </c>
      <c r="AB1" s="28" t="s">
        <v>58</v>
      </c>
      <c r="AC1" s="32" t="s">
        <v>59</v>
      </c>
      <c r="AD1" s="28" t="s">
        <v>60</v>
      </c>
      <c r="AE1" s="28" t="s">
        <v>61</v>
      </c>
      <c r="AF1" s="28" t="s">
        <v>62</v>
      </c>
      <c r="AG1" s="28" t="s">
        <v>63</v>
      </c>
      <c r="AH1" s="28" t="s">
        <v>64</v>
      </c>
      <c r="AI1" s="28" t="s">
        <v>65</v>
      </c>
      <c r="AJ1" s="28" t="s">
        <v>66</v>
      </c>
    </row>
    <row r="2" spans="2:36" s="27" customFormat="1" x14ac:dyDescent="0.2">
      <c r="B2" s="26"/>
      <c r="D2" s="42"/>
      <c r="F2" s="42"/>
      <c r="H2" s="42"/>
      <c r="J2" s="42"/>
      <c r="L2" s="42"/>
      <c r="N2" s="69">
        <v>44926</v>
      </c>
      <c r="O2" s="33">
        <v>45107</v>
      </c>
      <c r="P2" s="69">
        <v>45291</v>
      </c>
      <c r="Q2" s="33">
        <v>45473</v>
      </c>
      <c r="R2" s="42"/>
      <c r="T2" s="42"/>
      <c r="AB2" s="33">
        <v>44926</v>
      </c>
      <c r="AC2" s="33">
        <v>45291</v>
      </c>
    </row>
    <row r="3" spans="2:36" s="27" customFormat="1" x14ac:dyDescent="0.2">
      <c r="B3" s="26"/>
      <c r="D3" s="42"/>
      <c r="F3" s="42"/>
      <c r="H3" s="42"/>
      <c r="J3" s="42"/>
      <c r="L3" s="42"/>
      <c r="N3" s="42"/>
      <c r="P3" s="42"/>
      <c r="Q3" s="31">
        <v>45559</v>
      </c>
      <c r="R3" s="42"/>
      <c r="T3" s="42"/>
      <c r="AC3" s="31">
        <v>45407</v>
      </c>
    </row>
    <row r="4" spans="2:36" s="38" customFormat="1" x14ac:dyDescent="0.2">
      <c r="B4" s="38" t="s">
        <v>68</v>
      </c>
      <c r="D4" s="43"/>
      <c r="F4" s="43"/>
      <c r="H4" s="43"/>
      <c r="J4" s="43"/>
      <c r="L4" s="43"/>
      <c r="N4" s="43"/>
      <c r="O4" s="38">
        <v>38.173999999999999</v>
      </c>
      <c r="P4" s="43">
        <f>+AC4-O4</f>
        <v>44.545999999999999</v>
      </c>
      <c r="Q4" s="38">
        <v>47.283999999999999</v>
      </c>
      <c r="R4" s="43"/>
      <c r="T4" s="43"/>
      <c r="AB4" s="38">
        <v>63.764000000000003</v>
      </c>
      <c r="AC4" s="38">
        <v>82.72</v>
      </c>
    </row>
    <row r="5" spans="2:36" s="39" customFormat="1" x14ac:dyDescent="0.2">
      <c r="B5" s="39" t="s">
        <v>69</v>
      </c>
      <c r="D5" s="44"/>
      <c r="F5" s="44"/>
      <c r="H5" s="44"/>
      <c r="J5" s="44"/>
      <c r="L5" s="44"/>
      <c r="N5" s="44"/>
      <c r="O5" s="39">
        <v>1.3160000000000001</v>
      </c>
      <c r="P5" s="44">
        <f>+AC5-O5</f>
        <v>0.73399999999999976</v>
      </c>
      <c r="Q5" s="39">
        <v>1.365</v>
      </c>
      <c r="R5" s="44"/>
      <c r="T5" s="44"/>
      <c r="AB5" s="39">
        <v>1.7709999999999999</v>
      </c>
      <c r="AC5" s="39">
        <v>2.0499999999999998</v>
      </c>
    </row>
    <row r="6" spans="2:36" s="38" customFormat="1" x14ac:dyDescent="0.2">
      <c r="B6" s="38" t="s">
        <v>70</v>
      </c>
      <c r="D6" s="43"/>
      <c r="F6" s="43"/>
      <c r="H6" s="43"/>
      <c r="J6" s="43"/>
      <c r="L6" s="43"/>
      <c r="N6" s="43"/>
      <c r="O6" s="38">
        <f>+O4-O5</f>
        <v>36.857999999999997</v>
      </c>
      <c r="P6" s="43">
        <f>+P4-P5</f>
        <v>43.811999999999998</v>
      </c>
      <c r="Q6" s="38">
        <f>+Q4-Q5</f>
        <v>45.918999999999997</v>
      </c>
      <c r="R6" s="43"/>
      <c r="T6" s="43"/>
      <c r="AB6" s="38">
        <f>+AB4-AB5</f>
        <v>61.993000000000002</v>
      </c>
      <c r="AC6" s="38">
        <f>+AC4-AC5</f>
        <v>80.67</v>
      </c>
    </row>
    <row r="7" spans="2:36" s="39" customFormat="1" x14ac:dyDescent="0.2">
      <c r="B7" s="39" t="s">
        <v>71</v>
      </c>
      <c r="D7" s="44"/>
      <c r="F7" s="44"/>
      <c r="H7" s="44"/>
      <c r="J7" s="44"/>
      <c r="L7" s="44"/>
      <c r="N7" s="44"/>
      <c r="O7" s="39">
        <v>34.853999999999999</v>
      </c>
      <c r="P7" s="44">
        <f>+AC7-O7</f>
        <v>36.203000000000003</v>
      </c>
      <c r="Q7" s="39">
        <v>46.314999999999998</v>
      </c>
      <c r="R7" s="44"/>
      <c r="T7" s="44"/>
      <c r="AB7" s="39">
        <v>54.741999999999997</v>
      </c>
      <c r="AC7" s="39">
        <v>71.057000000000002</v>
      </c>
    </row>
    <row r="8" spans="2:36" s="39" customFormat="1" x14ac:dyDescent="0.2">
      <c r="B8" s="39" t="s">
        <v>72</v>
      </c>
      <c r="D8" s="44"/>
      <c r="F8" s="44"/>
      <c r="H8" s="44"/>
      <c r="J8" s="44"/>
      <c r="L8" s="44"/>
      <c r="N8" s="44"/>
      <c r="O8" s="39">
        <v>0.10299999999999999</v>
      </c>
      <c r="P8" s="44">
        <f>+AC8-O8</f>
        <v>0</v>
      </c>
      <c r="Q8" s="39">
        <v>0</v>
      </c>
      <c r="R8" s="44"/>
      <c r="T8" s="44"/>
      <c r="AB8" s="39">
        <v>0.755</v>
      </c>
      <c r="AC8" s="39">
        <v>0.10299999999999999</v>
      </c>
    </row>
    <row r="9" spans="2:36" s="38" customFormat="1" x14ac:dyDescent="0.2">
      <c r="B9" s="38" t="s">
        <v>73</v>
      </c>
      <c r="D9" s="43"/>
      <c r="F9" s="43"/>
      <c r="H9" s="43"/>
      <c r="J9" s="43"/>
      <c r="L9" s="43"/>
      <c r="N9" s="43"/>
      <c r="O9" s="38">
        <f>+O6-O7+O8</f>
        <v>2.106999999999998</v>
      </c>
      <c r="P9" s="43">
        <f>+P6-P7+P8</f>
        <v>7.6089999999999947</v>
      </c>
      <c r="Q9" s="38">
        <f>+Q6-Q7+Q8</f>
        <v>-0.3960000000000008</v>
      </c>
      <c r="R9" s="43"/>
      <c r="T9" s="43"/>
      <c r="AB9" s="38">
        <f>+AB6-AB7+AB8</f>
        <v>8.0060000000000056</v>
      </c>
      <c r="AC9" s="38">
        <f>+AC6-AC7+AC8</f>
        <v>9.7159999999999993</v>
      </c>
    </row>
    <row r="10" spans="2:36" s="39" customFormat="1" x14ac:dyDescent="0.2">
      <c r="B10" s="39" t="s">
        <v>74</v>
      </c>
      <c r="D10" s="44"/>
      <c r="F10" s="44"/>
      <c r="H10" s="44"/>
      <c r="J10" s="44"/>
      <c r="L10" s="44"/>
      <c r="N10" s="44"/>
      <c r="O10" s="39">
        <v>1.7999999999999999E-2</v>
      </c>
      <c r="P10" s="44">
        <f>+AC10-O10</f>
        <v>3.5000000000000003E-2</v>
      </c>
      <c r="Q10" s="39">
        <v>-3.2789999999999999</v>
      </c>
      <c r="R10" s="44"/>
      <c r="T10" s="44"/>
      <c r="AB10" s="39">
        <v>-3.47</v>
      </c>
      <c r="AC10" s="39">
        <v>5.2999999999999999E-2</v>
      </c>
    </row>
    <row r="11" spans="2:36" s="39" customFormat="1" x14ac:dyDescent="0.2">
      <c r="B11" s="39" t="s">
        <v>75</v>
      </c>
      <c r="D11" s="44"/>
      <c r="F11" s="44"/>
      <c r="H11" s="44"/>
      <c r="J11" s="44"/>
      <c r="L11" s="44"/>
      <c r="N11" s="44"/>
      <c r="O11" s="39">
        <v>0.47399999999999998</v>
      </c>
      <c r="P11" s="44">
        <f>+AC11-O11</f>
        <v>1.413</v>
      </c>
      <c r="Q11" s="39">
        <v>1.637</v>
      </c>
      <c r="R11" s="44"/>
      <c r="T11" s="44"/>
      <c r="AB11" s="39">
        <v>0.20100000000000001</v>
      </c>
      <c r="AC11" s="39">
        <v>1.887</v>
      </c>
    </row>
    <row r="12" spans="2:36" s="39" customFormat="1" x14ac:dyDescent="0.2">
      <c r="B12" s="39" t="s">
        <v>76</v>
      </c>
      <c r="D12" s="44"/>
      <c r="F12" s="44"/>
      <c r="H12" s="44"/>
      <c r="J12" s="44"/>
      <c r="L12" s="44"/>
      <c r="N12" s="44"/>
      <c r="O12" s="39">
        <v>-0.15</v>
      </c>
      <c r="P12" s="44">
        <f>+AC12-O12</f>
        <v>-9.9000000000000005E-2</v>
      </c>
      <c r="Q12" s="39">
        <v>-0.115</v>
      </c>
      <c r="R12" s="44"/>
      <c r="T12" s="44"/>
      <c r="AB12" s="39">
        <v>-0.67500000000000004</v>
      </c>
      <c r="AC12" s="39">
        <v>-0.249</v>
      </c>
    </row>
    <row r="13" spans="2:36" s="39" customFormat="1" x14ac:dyDescent="0.2">
      <c r="B13" s="39" t="s">
        <v>77</v>
      </c>
      <c r="D13" s="44"/>
      <c r="F13" s="44"/>
      <c r="H13" s="44"/>
      <c r="J13" s="44"/>
      <c r="L13" s="44"/>
      <c r="N13" s="44"/>
      <c r="O13" s="39">
        <f>+O9+O10+O11+O12</f>
        <v>2.4489999999999976</v>
      </c>
      <c r="P13" s="44">
        <f>+P9+P10+P11+P12</f>
        <v>8.9579999999999949</v>
      </c>
      <c r="Q13" s="39">
        <f>+Q9+Q10+Q11+Q12</f>
        <v>-2.1530000000000009</v>
      </c>
      <c r="R13" s="44"/>
      <c r="T13" s="44"/>
      <c r="AB13" s="39">
        <f>+AB9+AB10+AB11+AB12</f>
        <v>4.0620000000000047</v>
      </c>
      <c r="AC13" s="39">
        <f>+AC9+AC10+AC11+AC12</f>
        <v>11.407</v>
      </c>
    </row>
    <row r="14" spans="2:36" s="39" customFormat="1" x14ac:dyDescent="0.2">
      <c r="B14" s="39" t="s">
        <v>78</v>
      </c>
      <c r="D14" s="44"/>
      <c r="F14" s="44"/>
      <c r="H14" s="44"/>
      <c r="J14" s="44"/>
      <c r="L14" s="44"/>
      <c r="N14" s="44"/>
      <c r="O14" s="39">
        <v>0.64900000000000002</v>
      </c>
      <c r="P14" s="44">
        <f>+AC14-O14</f>
        <v>0.67199999999999993</v>
      </c>
      <c r="Q14" s="39">
        <v>-1.0840000000000001</v>
      </c>
      <c r="R14" s="44"/>
      <c r="T14" s="44"/>
      <c r="AB14" s="39">
        <v>-0.23699999999999999</v>
      </c>
      <c r="AC14" s="39">
        <v>1.321</v>
      </c>
    </row>
    <row r="15" spans="2:36" s="38" customFormat="1" x14ac:dyDescent="0.2">
      <c r="B15" s="38" t="s">
        <v>79</v>
      </c>
      <c r="D15" s="43"/>
      <c r="F15" s="43"/>
      <c r="H15" s="43"/>
      <c r="J15" s="43"/>
      <c r="L15" s="43"/>
      <c r="N15" s="43"/>
      <c r="O15" s="38">
        <f>+O13-O14</f>
        <v>1.7999999999999976</v>
      </c>
      <c r="P15" s="43">
        <f>+P13-P14</f>
        <v>8.2859999999999943</v>
      </c>
      <c r="Q15" s="38">
        <f>+Q13-Q14</f>
        <v>-1.0690000000000008</v>
      </c>
      <c r="R15" s="43"/>
      <c r="T15" s="43"/>
      <c r="AB15" s="38">
        <f>+AB13-AB14</f>
        <v>4.2990000000000048</v>
      </c>
      <c r="AC15" s="38">
        <f>+AC13-AC14</f>
        <v>10.086</v>
      </c>
    </row>
    <row r="16" spans="2:36" s="35" customFormat="1" x14ac:dyDescent="0.2">
      <c r="B16" s="35" t="s">
        <v>80</v>
      </c>
      <c r="D16" s="45"/>
      <c r="F16" s="45"/>
      <c r="H16" s="45"/>
      <c r="J16" s="45"/>
      <c r="L16" s="45"/>
      <c r="N16" s="45"/>
      <c r="P16" s="45">
        <f>+P15/P17</f>
        <v>2.7522120879745673E-2</v>
      </c>
      <c r="Q16" s="35">
        <f>+Q15/Q17</f>
        <v>-3.5277196744453992E-3</v>
      </c>
      <c r="R16" s="45"/>
      <c r="T16" s="45"/>
      <c r="AB16" s="35">
        <f>+AB15/AB17</f>
        <v>1.4364954723159705E-2</v>
      </c>
      <c r="AC16" s="35">
        <f>+AC15/AC17</f>
        <v>3.3500858217851197E-2</v>
      </c>
    </row>
    <row r="17" spans="1:29" s="34" customFormat="1" x14ac:dyDescent="0.2">
      <c r="B17" s="34" t="s">
        <v>4</v>
      </c>
      <c r="D17" s="46"/>
      <c r="F17" s="46"/>
      <c r="H17" s="46"/>
      <c r="J17" s="46"/>
      <c r="L17" s="46"/>
      <c r="N17" s="46"/>
      <c r="P17" s="46">
        <v>301.066914</v>
      </c>
      <c r="Q17" s="34">
        <v>303.02861300000001</v>
      </c>
      <c r="R17" s="46"/>
      <c r="T17" s="46"/>
      <c r="AB17" s="34">
        <v>299.27</v>
      </c>
      <c r="AC17" s="34">
        <v>301.066914</v>
      </c>
    </row>
    <row r="19" spans="1:29" s="40" customFormat="1" x14ac:dyDescent="0.2">
      <c r="B19" s="40" t="s">
        <v>82</v>
      </c>
      <c r="D19" s="47"/>
      <c r="F19" s="47"/>
      <c r="H19" s="47"/>
      <c r="J19" s="47"/>
      <c r="L19" s="47"/>
      <c r="N19" s="47"/>
      <c r="P19" s="47"/>
      <c r="Q19" s="40">
        <f>+Q4/O4-1</f>
        <v>0.2386441033163933</v>
      </c>
      <c r="R19" s="47"/>
      <c r="T19" s="47"/>
      <c r="AC19" s="40">
        <f>+AC4/AB4-1</f>
        <v>0.29728373376827033</v>
      </c>
    </row>
    <row r="20" spans="1:29" x14ac:dyDescent="0.2">
      <c r="B20" s="1" t="s">
        <v>83</v>
      </c>
      <c r="P20" s="49">
        <f>+P4/O4-1</f>
        <v>0.16691989312097233</v>
      </c>
      <c r="Q20" s="37">
        <f>+Q4/P4-1</f>
        <v>6.1464553495263363E-2</v>
      </c>
      <c r="AB20" s="26" t="s">
        <v>135</v>
      </c>
      <c r="AC20" s="26" t="s">
        <v>135</v>
      </c>
    </row>
    <row r="22" spans="1:29" s="37" customFormat="1" x14ac:dyDescent="0.2">
      <c r="B22" s="37" t="s">
        <v>84</v>
      </c>
      <c r="D22" s="49"/>
      <c r="F22" s="49"/>
      <c r="H22" s="49"/>
      <c r="J22" s="49"/>
      <c r="L22" s="49"/>
      <c r="N22" s="49"/>
      <c r="O22" s="37">
        <f>+O6/O4</f>
        <v>0.96552627442762085</v>
      </c>
      <c r="P22" s="49">
        <f>+P6/P4</f>
        <v>0.98352265074305212</v>
      </c>
      <c r="Q22" s="37">
        <f>+Q6/Q4</f>
        <v>0.9711318839353692</v>
      </c>
      <c r="R22" s="49"/>
      <c r="T22" s="49"/>
      <c r="AB22" s="37">
        <f>+AB6/AB4</f>
        <v>0.97222570729565272</v>
      </c>
      <c r="AC22" s="37">
        <f>+AC6/AC4</f>
        <v>0.97521760154738879</v>
      </c>
    </row>
    <row r="23" spans="1:29" s="37" customFormat="1" x14ac:dyDescent="0.2">
      <c r="B23" s="37" t="s">
        <v>85</v>
      </c>
      <c r="D23" s="49"/>
      <c r="F23" s="49"/>
      <c r="H23" s="49"/>
      <c r="J23" s="49"/>
      <c r="L23" s="49"/>
      <c r="N23" s="49"/>
      <c r="O23" s="37">
        <f>+O9/O4</f>
        <v>5.5194635091947344E-2</v>
      </c>
      <c r="P23" s="49">
        <f>+P9/P4</f>
        <v>0.1708121941363982</v>
      </c>
      <c r="Q23" s="37">
        <f>+Q9/Q4</f>
        <v>-8.3749259791895941E-3</v>
      </c>
      <c r="R23" s="49"/>
      <c r="T23" s="49"/>
      <c r="AB23" s="37">
        <f>+AB9/AB4</f>
        <v>0.12555674048052201</v>
      </c>
      <c r="AC23" s="37">
        <f>+AC9/AC4</f>
        <v>0.11745647969052224</v>
      </c>
    </row>
    <row r="24" spans="1:29" s="37" customFormat="1" x14ac:dyDescent="0.2">
      <c r="B24" s="37" t="s">
        <v>86</v>
      </c>
      <c r="D24" s="49"/>
      <c r="F24" s="49"/>
      <c r="H24" s="49"/>
      <c r="J24" s="49"/>
      <c r="L24" s="49"/>
      <c r="N24" s="49"/>
      <c r="O24" s="37">
        <f>+O15/O4</f>
        <v>4.7152512181065587E-2</v>
      </c>
      <c r="P24" s="49">
        <f>+P15/P4</f>
        <v>0.18600996722489099</v>
      </c>
      <c r="Q24" s="37">
        <f>+Q15/Q4</f>
        <v>-2.2608070383216328E-2</v>
      </c>
      <c r="R24" s="49"/>
      <c r="T24" s="49"/>
      <c r="AB24" s="37">
        <f>+AB15/AB4</f>
        <v>6.7420488049683286E-2</v>
      </c>
      <c r="AC24" s="37">
        <f>+AC15/AC4</f>
        <v>0.1219294003868472</v>
      </c>
    </row>
    <row r="25" spans="1:29" s="37" customFormat="1" x14ac:dyDescent="0.2">
      <c r="B25" s="37" t="s">
        <v>87</v>
      </c>
      <c r="D25" s="49"/>
      <c r="F25" s="49"/>
      <c r="H25" s="49"/>
      <c r="J25" s="49"/>
      <c r="L25" s="49"/>
      <c r="N25" s="49"/>
      <c r="O25" s="37">
        <f>+O14/O13</f>
        <v>0.26500612494895903</v>
      </c>
      <c r="P25" s="49">
        <f>+P14/P13</f>
        <v>7.5016744809109207E-2</v>
      </c>
      <c r="Q25" s="37">
        <f>+Q14/Q13</f>
        <v>0.50348351137947034</v>
      </c>
      <c r="R25" s="49"/>
      <c r="T25" s="49"/>
      <c r="AB25" s="37">
        <f>+AB14/AB13</f>
        <v>-5.8345642540620316E-2</v>
      </c>
      <c r="AC25" s="37">
        <f>+AC14/AC13</f>
        <v>0.11580608398351888</v>
      </c>
    </row>
    <row r="27" spans="1:29" x14ac:dyDescent="0.2">
      <c r="B27" s="50" t="s">
        <v>118</v>
      </c>
    </row>
    <row r="28" spans="1:29" s="59" customFormat="1" x14ac:dyDescent="0.2">
      <c r="A28" s="61" t="s">
        <v>129</v>
      </c>
      <c r="B28" s="59" t="s">
        <v>119</v>
      </c>
      <c r="D28" s="60"/>
      <c r="F28" s="60"/>
      <c r="H28" s="60"/>
      <c r="J28" s="60"/>
      <c r="L28" s="60"/>
      <c r="N28" s="60"/>
      <c r="O28" s="59">
        <v>5000</v>
      </c>
      <c r="P28" s="60"/>
      <c r="Q28" s="59">
        <v>5800</v>
      </c>
      <c r="R28" s="60"/>
      <c r="T28" s="60"/>
    </row>
    <row r="29" spans="1:29" s="57" customFormat="1" x14ac:dyDescent="0.2">
      <c r="A29" s="62"/>
      <c r="B29" s="56" t="s">
        <v>120</v>
      </c>
      <c r="D29" s="58"/>
      <c r="F29" s="58"/>
      <c r="H29" s="58"/>
      <c r="J29" s="58"/>
      <c r="L29" s="58"/>
      <c r="N29" s="58"/>
      <c r="P29" s="58"/>
      <c r="Q29" s="57">
        <f>+Q28/O28-1</f>
        <v>0.15999999999999992</v>
      </c>
      <c r="R29" s="58"/>
      <c r="T29" s="58"/>
    </row>
    <row r="30" spans="1:29" x14ac:dyDescent="0.2">
      <c r="A30" s="63" t="s">
        <v>128</v>
      </c>
      <c r="B30" s="1" t="s">
        <v>121</v>
      </c>
      <c r="O30" s="55">
        <v>7.6E-3</v>
      </c>
      <c r="Q30" s="55">
        <v>8.0999999999999996E-3</v>
      </c>
    </row>
    <row r="31" spans="1:29" s="57" customFormat="1" x14ac:dyDescent="0.2">
      <c r="A31" s="62"/>
      <c r="B31" s="56" t="s">
        <v>122</v>
      </c>
      <c r="D31" s="58"/>
      <c r="F31" s="58"/>
      <c r="H31" s="58"/>
      <c r="J31" s="58"/>
      <c r="L31" s="58"/>
      <c r="N31" s="58"/>
      <c r="P31" s="58"/>
      <c r="Q31" s="57">
        <f>+Q30/O30-1</f>
        <v>6.5789473684210398E-2</v>
      </c>
      <c r="R31" s="58"/>
      <c r="T31" s="58"/>
    </row>
    <row r="32" spans="1:29" x14ac:dyDescent="0.2">
      <c r="A32" s="63" t="s">
        <v>127</v>
      </c>
      <c r="B32" s="1" t="s">
        <v>123</v>
      </c>
      <c r="O32" s="1">
        <v>61.2</v>
      </c>
      <c r="Q32" s="1">
        <v>79.599999999999994</v>
      </c>
    </row>
    <row r="33" spans="1:20" s="57" customFormat="1" x14ac:dyDescent="0.2">
      <c r="A33" s="62"/>
      <c r="B33" s="56" t="s">
        <v>124</v>
      </c>
      <c r="D33" s="58"/>
      <c r="F33" s="58"/>
      <c r="H33" s="58"/>
      <c r="J33" s="58"/>
      <c r="L33" s="58"/>
      <c r="N33" s="58"/>
      <c r="P33" s="58"/>
      <c r="Q33" s="57">
        <f>+Q32/O32-1</f>
        <v>0.30065359477124165</v>
      </c>
      <c r="R33" s="58"/>
      <c r="T33" s="58"/>
    </row>
    <row r="34" spans="1:20" x14ac:dyDescent="0.2">
      <c r="A34" s="63" t="s">
        <v>127</v>
      </c>
      <c r="B34" s="1" t="s">
        <v>125</v>
      </c>
      <c r="O34" s="1">
        <v>32.700000000000003</v>
      </c>
      <c r="Q34" s="1">
        <v>39.9</v>
      </c>
    </row>
    <row r="35" spans="1:20" s="57" customFormat="1" x14ac:dyDescent="0.2">
      <c r="B35" s="57" t="s">
        <v>126</v>
      </c>
      <c r="D35" s="58"/>
      <c r="F35" s="58"/>
      <c r="H35" s="58"/>
      <c r="J35" s="58"/>
      <c r="L35" s="58"/>
      <c r="N35" s="58"/>
      <c r="P35" s="58"/>
      <c r="Q35" s="57">
        <f>+Q34/O34-1</f>
        <v>0.2201834862385319</v>
      </c>
      <c r="R35" s="58"/>
      <c r="T35" s="58"/>
    </row>
    <row r="37" spans="1:20" x14ac:dyDescent="0.2">
      <c r="B37" s="50" t="s">
        <v>88</v>
      </c>
    </row>
    <row r="38" spans="1:20" x14ac:dyDescent="0.2">
      <c r="B38" s="1" t="s">
        <v>89</v>
      </c>
      <c r="Q38" s="39">
        <v>0.77100000000000002</v>
      </c>
    </row>
    <row r="39" spans="1:20" x14ac:dyDescent="0.2">
      <c r="B39" s="1" t="s">
        <v>90</v>
      </c>
      <c r="Q39" s="39">
        <v>3.2320000000000002</v>
      </c>
    </row>
    <row r="40" spans="1:20" x14ac:dyDescent="0.2">
      <c r="B40" s="1" t="s">
        <v>91</v>
      </c>
      <c r="Q40" s="39">
        <v>56.645000000000003</v>
      </c>
    </row>
    <row r="41" spans="1:20" s="2" customFormat="1" x14ac:dyDescent="0.2">
      <c r="B41" s="2" t="s">
        <v>92</v>
      </c>
      <c r="D41" s="51"/>
      <c r="F41" s="51"/>
      <c r="H41" s="51"/>
      <c r="J41" s="51"/>
      <c r="L41" s="51"/>
      <c r="N41" s="51"/>
      <c r="P41" s="51"/>
      <c r="Q41" s="38">
        <v>1.954</v>
      </c>
      <c r="R41" s="51"/>
      <c r="T41" s="51"/>
    </row>
    <row r="42" spans="1:20" x14ac:dyDescent="0.2">
      <c r="B42" s="1" t="s">
        <v>93</v>
      </c>
      <c r="Q42" s="39">
        <v>17.66</v>
      </c>
    </row>
    <row r="43" spans="1:20" x14ac:dyDescent="0.2">
      <c r="B43" s="1" t="s">
        <v>94</v>
      </c>
      <c r="O43" s="1">
        <f>+SUM(O38:O42)</f>
        <v>0</v>
      </c>
      <c r="Q43" s="39">
        <f>+SUM(Q38:Q42)</f>
        <v>80.262</v>
      </c>
    </row>
    <row r="44" spans="1:20" x14ac:dyDescent="0.2">
      <c r="B44" s="1" t="s">
        <v>95</v>
      </c>
      <c r="Q44" s="39">
        <v>139.01599999999999</v>
      </c>
    </row>
    <row r="45" spans="1:20" s="2" customFormat="1" x14ac:dyDescent="0.2">
      <c r="B45" s="2" t="s">
        <v>92</v>
      </c>
      <c r="D45" s="51"/>
      <c r="F45" s="51"/>
      <c r="H45" s="51"/>
      <c r="J45" s="51"/>
      <c r="L45" s="51"/>
      <c r="N45" s="51"/>
      <c r="P45" s="51"/>
      <c r="Q45" s="38">
        <v>0.22600000000000001</v>
      </c>
      <c r="R45" s="51"/>
      <c r="T45" s="51"/>
    </row>
    <row r="46" spans="1:20" s="2" customFormat="1" x14ac:dyDescent="0.2">
      <c r="B46" s="2" t="s">
        <v>6</v>
      </c>
      <c r="D46" s="51"/>
      <c r="F46" s="51"/>
      <c r="H46" s="51"/>
      <c r="J46" s="51"/>
      <c r="L46" s="51"/>
      <c r="N46" s="51"/>
      <c r="P46" s="51"/>
      <c r="Q46" s="38">
        <v>148.5</v>
      </c>
      <c r="R46" s="51"/>
      <c r="T46" s="51"/>
    </row>
    <row r="47" spans="1:20" x14ac:dyDescent="0.2">
      <c r="B47" s="1" t="s">
        <v>96</v>
      </c>
      <c r="O47" s="1">
        <f>+SUM(O43:O46)</f>
        <v>0</v>
      </c>
      <c r="Q47" s="39">
        <f>+SUM(Q43:Q46)</f>
        <v>368.00400000000002</v>
      </c>
    </row>
    <row r="48" spans="1:20" x14ac:dyDescent="0.2">
      <c r="Q48" s="39"/>
    </row>
    <row r="49" spans="2:20" x14ac:dyDescent="0.2">
      <c r="B49" s="1" t="s">
        <v>97</v>
      </c>
      <c r="Q49" s="39">
        <v>214.50899999999999</v>
      </c>
    </row>
    <row r="50" spans="2:20" x14ac:dyDescent="0.2">
      <c r="B50" s="1" t="s">
        <v>78</v>
      </c>
      <c r="Q50" s="39">
        <v>0.77800000000000002</v>
      </c>
    </row>
    <row r="51" spans="2:20" x14ac:dyDescent="0.2">
      <c r="B51" s="1" t="s">
        <v>98</v>
      </c>
      <c r="Q51" s="39">
        <v>1.3620000000000001</v>
      </c>
    </row>
    <row r="52" spans="2:20" x14ac:dyDescent="0.2">
      <c r="B52" s="1" t="s">
        <v>99</v>
      </c>
      <c r="O52" s="1">
        <f>+SUM(O49:O51)</f>
        <v>0</v>
      </c>
      <c r="Q52" s="39">
        <f>+SUM(Q49:Q51)</f>
        <v>216.64899999999997</v>
      </c>
    </row>
    <row r="53" spans="2:20" x14ac:dyDescent="0.2">
      <c r="B53" s="1" t="s">
        <v>100</v>
      </c>
      <c r="Q53" s="39">
        <v>1.5369999999999999</v>
      </c>
    </row>
    <row r="54" spans="2:20" x14ac:dyDescent="0.2">
      <c r="B54" s="1" t="s">
        <v>93</v>
      </c>
      <c r="Q54" s="39">
        <v>0.126</v>
      </c>
    </row>
    <row r="55" spans="2:20" s="2" customFormat="1" x14ac:dyDescent="0.2">
      <c r="B55" s="2" t="s">
        <v>101</v>
      </c>
      <c r="D55" s="51"/>
      <c r="F55" s="51"/>
      <c r="H55" s="51"/>
      <c r="J55" s="51"/>
      <c r="L55" s="51"/>
      <c r="N55" s="51"/>
      <c r="P55" s="51"/>
      <c r="Q55" s="38">
        <v>9.0890000000000004</v>
      </c>
      <c r="R55" s="51"/>
      <c r="T55" s="51"/>
    </row>
    <row r="56" spans="2:20" x14ac:dyDescent="0.2">
      <c r="B56" s="1" t="s">
        <v>102</v>
      </c>
      <c r="Q56" s="39">
        <v>2.173</v>
      </c>
    </row>
    <row r="57" spans="2:20" x14ac:dyDescent="0.2">
      <c r="B57" s="1" t="s">
        <v>103</v>
      </c>
      <c r="O57" s="1">
        <f>+SUM(O52:O56)</f>
        <v>0</v>
      </c>
      <c r="Q57" s="39">
        <f>+SUM(Q52:Q56)</f>
        <v>229.57399999999998</v>
      </c>
    </row>
    <row r="58" spans="2:20" x14ac:dyDescent="0.2">
      <c r="Q58" s="39"/>
    </row>
    <row r="59" spans="2:20" x14ac:dyDescent="0.2">
      <c r="B59" s="1" t="s">
        <v>104</v>
      </c>
      <c r="Q59" s="39">
        <v>138.43</v>
      </c>
    </row>
    <row r="60" spans="2:20" x14ac:dyDescent="0.2">
      <c r="B60" s="1" t="s">
        <v>105</v>
      </c>
      <c r="Q60" s="39">
        <f>+Q59+Q57</f>
        <v>368.00400000000002</v>
      </c>
    </row>
    <row r="61" spans="2:20" x14ac:dyDescent="0.2">
      <c r="Q61" s="39"/>
    </row>
    <row r="62" spans="2:20" x14ac:dyDescent="0.2">
      <c r="B62" s="1" t="s">
        <v>106</v>
      </c>
      <c r="Q62" s="39">
        <f>+Q47-Q57</f>
        <v>138.43000000000004</v>
      </c>
    </row>
    <row r="63" spans="2:20" x14ac:dyDescent="0.2">
      <c r="B63" s="1" t="s">
        <v>107</v>
      </c>
      <c r="Q63" s="1">
        <f>+Q62/Q17</f>
        <v>0.45682154773945399</v>
      </c>
    </row>
    <row r="65" spans="2:29" x14ac:dyDescent="0.2">
      <c r="B65" s="1" t="s">
        <v>6</v>
      </c>
      <c r="Q65" s="39">
        <f>+Q45+Q46</f>
        <v>148.726</v>
      </c>
    </row>
    <row r="66" spans="2:29" x14ac:dyDescent="0.2">
      <c r="B66" s="1" t="s">
        <v>7</v>
      </c>
      <c r="Q66" s="39">
        <f>+Q55</f>
        <v>9.0890000000000004</v>
      </c>
    </row>
    <row r="67" spans="2:29" x14ac:dyDescent="0.2">
      <c r="B67" s="1" t="s">
        <v>8</v>
      </c>
      <c r="Q67" s="39">
        <f>+Q65-Q66</f>
        <v>139.637</v>
      </c>
    </row>
    <row r="68" spans="2:29" s="52" customFormat="1" x14ac:dyDescent="0.2">
      <c r="B68" s="52" t="s">
        <v>108</v>
      </c>
      <c r="D68" s="53"/>
      <c r="F68" s="53"/>
      <c r="H68" s="53"/>
      <c r="J68" s="53"/>
      <c r="L68" s="53"/>
      <c r="N68" s="53"/>
      <c r="P68" s="53"/>
      <c r="R68" s="53"/>
      <c r="T68" s="53"/>
    </row>
    <row r="70" spans="2:29" x14ac:dyDescent="0.2">
      <c r="B70" s="1" t="s">
        <v>109</v>
      </c>
    </row>
    <row r="71" spans="2:29" x14ac:dyDescent="0.2">
      <c r="B71" s="1" t="s">
        <v>5</v>
      </c>
    </row>
    <row r="72" spans="2:29" x14ac:dyDescent="0.2">
      <c r="B72" s="1" t="s">
        <v>9</v>
      </c>
    </row>
    <row r="73" spans="2:29" s="52" customFormat="1" x14ac:dyDescent="0.2">
      <c r="B73" s="52" t="s">
        <v>110</v>
      </c>
      <c r="D73" s="53"/>
      <c r="F73" s="53"/>
      <c r="H73" s="53"/>
      <c r="J73" s="53"/>
      <c r="L73" s="53"/>
      <c r="N73" s="53"/>
      <c r="P73" s="53"/>
      <c r="R73" s="53"/>
      <c r="T73" s="53"/>
    </row>
    <row r="74" spans="2:29" s="52" customFormat="1" x14ac:dyDescent="0.2">
      <c r="B74" s="52" t="s">
        <v>111</v>
      </c>
      <c r="D74" s="53"/>
      <c r="F74" s="53"/>
      <c r="H74" s="53"/>
      <c r="J74" s="53"/>
      <c r="L74" s="53"/>
      <c r="N74" s="53"/>
      <c r="P74" s="53"/>
      <c r="R74" s="53"/>
      <c r="T74" s="53"/>
    </row>
    <row r="75" spans="2:29" s="52" customFormat="1" x14ac:dyDescent="0.2">
      <c r="B75" s="52" t="s">
        <v>112</v>
      </c>
      <c r="D75" s="53"/>
      <c r="F75" s="53"/>
      <c r="H75" s="53"/>
      <c r="J75" s="53"/>
      <c r="L75" s="53"/>
      <c r="N75" s="53"/>
      <c r="P75" s="53"/>
      <c r="R75" s="53"/>
      <c r="T75" s="53"/>
    </row>
    <row r="79" spans="2:29" x14ac:dyDescent="0.2">
      <c r="B79" s="50" t="s">
        <v>113</v>
      </c>
    </row>
    <row r="80" spans="2:29" s="39" customFormat="1" x14ac:dyDescent="0.2">
      <c r="B80" s="39" t="s">
        <v>114</v>
      </c>
      <c r="D80" s="44"/>
      <c r="F80" s="44"/>
      <c r="H80" s="44"/>
      <c r="J80" s="44"/>
      <c r="L80" s="44"/>
      <c r="N80" s="44"/>
      <c r="O80" s="39">
        <v>2.117</v>
      </c>
      <c r="P80" s="44">
        <f>+AC80-O80</f>
        <v>38.480000000000004</v>
      </c>
      <c r="Q80" s="39">
        <v>1.7509999999999999</v>
      </c>
      <c r="R80" s="44"/>
      <c r="T80" s="44"/>
      <c r="AB80" s="39">
        <v>49.652000000000001</v>
      </c>
      <c r="AC80" s="39">
        <v>40.597000000000001</v>
      </c>
    </row>
    <row r="81" spans="2:29" s="39" customFormat="1" x14ac:dyDescent="0.2">
      <c r="B81" s="39" t="s">
        <v>130</v>
      </c>
      <c r="D81" s="44"/>
      <c r="F81" s="44"/>
      <c r="H81" s="44"/>
      <c r="J81" s="44"/>
      <c r="L81" s="44"/>
      <c r="N81" s="44"/>
      <c r="O81" s="39">
        <f>0.133+2.617</f>
        <v>2.75</v>
      </c>
      <c r="P81" s="44">
        <f>+AC81-O81</f>
        <v>3.1139999999999999</v>
      </c>
      <c r="Q81" s="39">
        <f>0.267+3.461</f>
        <v>3.7279999999999998</v>
      </c>
      <c r="R81" s="44"/>
      <c r="T81" s="44"/>
      <c r="AB81" s="39">
        <f>0.47+4.866</f>
        <v>5.3359999999999994</v>
      </c>
      <c r="AC81" s="39">
        <f>0.434+5.43</f>
        <v>5.8639999999999999</v>
      </c>
    </row>
    <row r="82" spans="2:29" s="38" customFormat="1" x14ac:dyDescent="0.2">
      <c r="B82" s="38" t="s">
        <v>131</v>
      </c>
      <c r="D82" s="43"/>
      <c r="F82" s="43"/>
      <c r="H82" s="43"/>
      <c r="J82" s="43"/>
      <c r="L82" s="43"/>
      <c r="N82" s="43"/>
      <c r="O82" s="38">
        <f>+O80-O81</f>
        <v>-0.63300000000000001</v>
      </c>
      <c r="P82" s="43">
        <f>+P80-P81</f>
        <v>35.366000000000007</v>
      </c>
      <c r="Q82" s="38">
        <f>+Q80-Q81</f>
        <v>-1.9769999999999999</v>
      </c>
      <c r="R82" s="43"/>
      <c r="T82" s="43"/>
      <c r="AB82" s="38">
        <f>+AB80-AB81</f>
        <v>44.316000000000003</v>
      </c>
      <c r="AC82" s="38">
        <f>+AC80-AC81</f>
        <v>34.733000000000004</v>
      </c>
    </row>
    <row r="84" spans="2:29" x14ac:dyDescent="0.2">
      <c r="B84" s="1" t="s">
        <v>132</v>
      </c>
      <c r="Q84" s="1">
        <f>+SUM(P80:Q80)/Q17</f>
        <v>0.1327630404327528</v>
      </c>
    </row>
    <row r="85" spans="2:29" x14ac:dyDescent="0.2">
      <c r="B85" s="1" t="s">
        <v>133</v>
      </c>
    </row>
  </sheetData>
  <hyperlinks>
    <hyperlink ref="Q1" r:id="rId1" xr:uid="{69EB0623-78A5-4C75-B41F-946549CAC1AC}"/>
    <hyperlink ref="AC1" r:id="rId2" xr:uid="{2E71B946-33F1-4A90-828D-B0941C26C998}"/>
    <hyperlink ref="P1" r:id="rId3" xr:uid="{567DDD0B-3124-481E-BB97-E1739C88C9A9}"/>
  </hyperlinks>
  <pageMargins left="0.7" right="0.7" top="0.75" bottom="0.75" header="0.3" footer="0.3"/>
  <ignoredErrors>
    <ignoredError sqref="P6:P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2025-02-17T14:53:26Z</dcterms:created>
  <dcterms:modified xsi:type="dcterms:W3CDTF">2025-02-17T22:57:03Z</dcterms:modified>
</cp:coreProperties>
</file>