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My Drive\Stocks\"/>
    </mc:Choice>
  </mc:AlternateContent>
  <xr:revisionPtr revIDLastSave="0" documentId="13_ncr:1_{7E6FA3C9-28EA-4018-8708-D2A1571C42D8}" xr6:coauthVersionLast="47" xr6:coauthVersionMax="47" xr10:uidLastSave="{00000000-0000-0000-0000-000000000000}"/>
  <bookViews>
    <workbookView xWindow="-120" yWindow="-120" windowWidth="29040" windowHeight="15720" activeTab="1" xr2:uid="{18B12511-5A40-4110-901F-9E6EE9F0D34B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L35" i="2"/>
  <c r="L36" i="2"/>
  <c r="L37" i="2"/>
  <c r="L38" i="2"/>
  <c r="L3" i="2"/>
  <c r="L2" i="2"/>
  <c r="M24" i="2"/>
  <c r="L24" i="2"/>
  <c r="L23" i="2"/>
  <c r="L28" i="2"/>
  <c r="L29" i="2" s="1"/>
  <c r="L27" i="2"/>
  <c r="L26" i="2"/>
  <c r="L20" i="2"/>
  <c r="L17" i="2"/>
  <c r="L18" i="2"/>
  <c r="L19" i="2" s="1"/>
  <c r="L16" i="2"/>
  <c r="L14" i="2"/>
  <c r="L13" i="2"/>
  <c r="L12" i="2"/>
  <c r="L11" i="2"/>
  <c r="L9" i="2"/>
  <c r="L10" i="2" s="1"/>
  <c r="L21" i="2"/>
  <c r="L8" i="2"/>
  <c r="L7" i="2"/>
  <c r="L6" i="2"/>
  <c r="L5" i="2"/>
  <c r="L4" i="2"/>
  <c r="V47" i="2"/>
  <c r="V52" i="2" s="1"/>
  <c r="V58" i="2"/>
  <c r="V63" i="2"/>
  <c r="V38" i="2"/>
  <c r="V28" i="2"/>
  <c r="V29" i="2" s="1"/>
  <c r="V27" i="2"/>
  <c r="V26" i="2"/>
  <c r="V23" i="2"/>
  <c r="V20" i="2"/>
  <c r="V8" i="2"/>
  <c r="V10" i="2" s="1"/>
  <c r="V15" i="2" s="1"/>
  <c r="V17" i="2" s="1"/>
  <c r="V19" i="2" s="1"/>
  <c r="L34" i="2"/>
  <c r="C25" i="1"/>
  <c r="C33" i="1"/>
  <c r="M79" i="2"/>
  <c r="C10" i="1"/>
  <c r="C9" i="1"/>
  <c r="C7" i="1"/>
  <c r="M76" i="2"/>
  <c r="M77" i="2" s="1"/>
  <c r="L15" i="2" l="1"/>
  <c r="M72" i="2"/>
  <c r="M71" i="2"/>
  <c r="M73" i="2" s="1"/>
  <c r="M68" i="2"/>
  <c r="M69" i="2" s="1"/>
  <c r="M66" i="2"/>
  <c r="M42" i="2"/>
  <c r="M47" i="2"/>
  <c r="M52" i="2" s="1"/>
  <c r="M58" i="2"/>
  <c r="M63" i="2" s="1"/>
  <c r="M8" i="2"/>
  <c r="M10" i="2"/>
  <c r="M15" i="2" s="1"/>
  <c r="M27" i="2" s="1"/>
  <c r="M23" i="2"/>
  <c r="K23" i="2"/>
  <c r="M17" i="2" l="1"/>
  <c r="M19" i="2" s="1"/>
  <c r="M26" i="2"/>
  <c r="M20" i="2" l="1"/>
  <c r="M28" i="2"/>
  <c r="M29" i="2" s="1"/>
  <c r="S76" i="2" l="1"/>
  <c r="R76" i="2"/>
  <c r="S72" i="2"/>
  <c r="R72" i="2"/>
  <c r="S71" i="2"/>
  <c r="S73" i="2" s="1"/>
  <c r="R71" i="2"/>
  <c r="R73" i="2" s="1"/>
  <c r="R62" i="2"/>
  <c r="R42" i="2"/>
  <c r="S62" i="2"/>
  <c r="S42" i="2"/>
  <c r="R77" i="2" l="1"/>
  <c r="S77" i="2"/>
  <c r="I42" i="2"/>
  <c r="K42" i="2"/>
  <c r="P42" i="2"/>
  <c r="Q42" i="2"/>
  <c r="T42" i="2"/>
  <c r="U42" i="2"/>
  <c r="D34" i="2" l="1"/>
  <c r="F34" i="2"/>
  <c r="H34" i="2"/>
  <c r="P107" i="2"/>
  <c r="P105" i="2"/>
  <c r="P96" i="2"/>
  <c r="P90" i="2"/>
  <c r="Q108" i="2"/>
  <c r="Q107" i="2"/>
  <c r="Q105" i="2"/>
  <c r="Q96" i="2"/>
  <c r="Q90" i="2"/>
  <c r="P76" i="2"/>
  <c r="P80" i="2" s="1"/>
  <c r="P72" i="2"/>
  <c r="P71" i="2"/>
  <c r="P73" i="2" s="1"/>
  <c r="P62" i="2"/>
  <c r="Q38" i="2"/>
  <c r="P38" i="2"/>
  <c r="Q76" i="2"/>
  <c r="Q80" i="2" s="1"/>
  <c r="Q72" i="2"/>
  <c r="Q71" i="2"/>
  <c r="Q27" i="2"/>
  <c r="Q23" i="2"/>
  <c r="P16" i="2"/>
  <c r="Q16" i="2"/>
  <c r="Q10" i="2"/>
  <c r="Q15" i="2" s="1"/>
  <c r="P10" i="2"/>
  <c r="P15" i="2" s="1"/>
  <c r="P27" i="2" s="1"/>
  <c r="Q62" i="2"/>
  <c r="D58" i="2"/>
  <c r="D63" i="2" s="1"/>
  <c r="C58" i="2"/>
  <c r="C63" i="2" s="1"/>
  <c r="F58" i="2"/>
  <c r="F63" i="2" s="1"/>
  <c r="E58" i="2"/>
  <c r="E63" i="2" s="1"/>
  <c r="G58" i="2"/>
  <c r="G63" i="2" s="1"/>
  <c r="H58" i="2"/>
  <c r="H63" i="2" s="1"/>
  <c r="J58" i="2"/>
  <c r="I58" i="2"/>
  <c r="I63" i="2" s="1"/>
  <c r="K58" i="2"/>
  <c r="K63" i="2" s="1"/>
  <c r="U58" i="2"/>
  <c r="U63" i="2" s="1"/>
  <c r="T58" i="2"/>
  <c r="T63" i="2" s="1"/>
  <c r="S58" i="2"/>
  <c r="S63" i="2" s="1"/>
  <c r="S66" i="2" s="1"/>
  <c r="R58" i="2"/>
  <c r="R63" i="2" s="1"/>
  <c r="R66" i="2" s="1"/>
  <c r="P58" i="2"/>
  <c r="Q58" i="2"/>
  <c r="Q63" i="2" s="1"/>
  <c r="Q66" i="2" s="1"/>
  <c r="P47" i="2"/>
  <c r="P52" i="2" s="1"/>
  <c r="R47" i="2"/>
  <c r="Q47" i="2"/>
  <c r="Q52" i="2" s="1"/>
  <c r="Q73" i="2" l="1"/>
  <c r="P63" i="2"/>
  <c r="P66" i="2" s="1"/>
  <c r="P108" i="2"/>
  <c r="P26" i="2"/>
  <c r="Q68" i="2"/>
  <c r="Q69" i="2" s="1"/>
  <c r="Q79" i="2" s="1"/>
  <c r="Q26" i="2"/>
  <c r="P77" i="2"/>
  <c r="Q77" i="2"/>
  <c r="P17" i="2"/>
  <c r="P19" i="2" s="1"/>
  <c r="Q17" i="2"/>
  <c r="Q19" i="2" s="1"/>
  <c r="T76" i="2"/>
  <c r="T72" i="2"/>
  <c r="T71" i="2"/>
  <c r="T73" i="2" s="1"/>
  <c r="T66" i="2"/>
  <c r="U76" i="2"/>
  <c r="U72" i="2"/>
  <c r="U71" i="2"/>
  <c r="U66" i="2"/>
  <c r="R52" i="2"/>
  <c r="R68" i="2" s="1"/>
  <c r="R69" i="2" s="1"/>
  <c r="R79" i="2" s="1"/>
  <c r="T47" i="2"/>
  <c r="T52" i="2" s="1"/>
  <c r="T68" i="2" s="1"/>
  <c r="T69" i="2" s="1"/>
  <c r="T79" i="2" s="1"/>
  <c r="S47" i="2"/>
  <c r="S52" i="2" s="1"/>
  <c r="S68" i="2" s="1"/>
  <c r="S69" i="2" s="1"/>
  <c r="S79" i="2" s="1"/>
  <c r="U47" i="2"/>
  <c r="U52" i="2" s="1"/>
  <c r="U68" i="2" s="1"/>
  <c r="U69" i="2" s="1"/>
  <c r="U79" i="2" s="1"/>
  <c r="D75" i="2"/>
  <c r="F75" i="2"/>
  <c r="H75" i="2"/>
  <c r="J75" i="2"/>
  <c r="I76" i="2"/>
  <c r="K76" i="2"/>
  <c r="J7" i="2"/>
  <c r="J6" i="2"/>
  <c r="J5" i="2"/>
  <c r="J4" i="2"/>
  <c r="P68" i="2" l="1"/>
  <c r="P69" i="2" s="1"/>
  <c r="P79" i="2" s="1"/>
  <c r="U73" i="2"/>
  <c r="U77" i="2" s="1"/>
  <c r="P28" i="2"/>
  <c r="P29" i="2" s="1"/>
  <c r="P20" i="2"/>
  <c r="P82" i="2" s="1"/>
  <c r="P81" i="2"/>
  <c r="P83" i="2"/>
  <c r="A79" i="2"/>
  <c r="Q20" i="2"/>
  <c r="Q82" i="2" s="1"/>
  <c r="Q28" i="2"/>
  <c r="Q29" i="2" s="1"/>
  <c r="T77" i="2"/>
  <c r="Q81" i="2"/>
  <c r="Q83" i="2"/>
  <c r="R107" i="2"/>
  <c r="S107" i="2"/>
  <c r="K105" i="2"/>
  <c r="I105" i="2"/>
  <c r="R105" i="2"/>
  <c r="U105" i="2"/>
  <c r="T105" i="2"/>
  <c r="S105" i="2"/>
  <c r="T96" i="2"/>
  <c r="S96" i="2"/>
  <c r="R96" i="2"/>
  <c r="K96" i="2"/>
  <c r="I96" i="2"/>
  <c r="U96" i="2"/>
  <c r="J36" i="2" l="1"/>
  <c r="J35" i="2"/>
  <c r="J37" i="2"/>
  <c r="S38" i="2"/>
  <c r="R38" i="2"/>
  <c r="U8" i="2"/>
  <c r="T8" i="2"/>
  <c r="T80" i="2" s="1"/>
  <c r="R8" i="2"/>
  <c r="S8" i="2"/>
  <c r="T107" i="2"/>
  <c r="T90" i="2"/>
  <c r="S90" i="2"/>
  <c r="S108" i="2" s="1"/>
  <c r="R90" i="2"/>
  <c r="R108" i="2" s="1"/>
  <c r="T38" i="2"/>
  <c r="U38" i="2"/>
  <c r="J38" i="2" s="1"/>
  <c r="J34" i="2"/>
  <c r="J21" i="2"/>
  <c r="J18" i="2"/>
  <c r="J16" i="2"/>
  <c r="J14" i="2"/>
  <c r="J13" i="2"/>
  <c r="J12" i="2"/>
  <c r="J11" i="2"/>
  <c r="J9" i="2"/>
  <c r="C26" i="1"/>
  <c r="I72" i="2"/>
  <c r="I71" i="2"/>
  <c r="I47" i="2"/>
  <c r="I52" i="2" s="1"/>
  <c r="I66" i="2"/>
  <c r="J47" i="2"/>
  <c r="J52" i="2" s="1"/>
  <c r="H47" i="2"/>
  <c r="H52" i="2" s="1"/>
  <c r="G47" i="2"/>
  <c r="G52" i="2" s="1"/>
  <c r="F47" i="2"/>
  <c r="F52" i="2" s="1"/>
  <c r="E47" i="2"/>
  <c r="E52" i="2" s="1"/>
  <c r="D47" i="2"/>
  <c r="D52" i="2" s="1"/>
  <c r="C47" i="2"/>
  <c r="C52" i="2" s="1"/>
  <c r="J2" i="2"/>
  <c r="J104" i="2"/>
  <c r="J103" i="2"/>
  <c r="J101" i="2"/>
  <c r="J95" i="2"/>
  <c r="J94" i="2"/>
  <c r="J93" i="2"/>
  <c r="J89" i="2"/>
  <c r="J88" i="2"/>
  <c r="J87" i="2"/>
  <c r="U107" i="2"/>
  <c r="U90" i="2"/>
  <c r="I107" i="2"/>
  <c r="J105" i="2" l="1"/>
  <c r="T10" i="2"/>
  <c r="T15" i="2" s="1"/>
  <c r="T17" i="2" s="1"/>
  <c r="T19" i="2" s="1"/>
  <c r="T20" i="2" s="1"/>
  <c r="T82" i="2" s="1"/>
  <c r="T81" i="2"/>
  <c r="J8" i="2"/>
  <c r="U80" i="2"/>
  <c r="S80" i="2"/>
  <c r="S81" i="2"/>
  <c r="R80" i="2"/>
  <c r="A80" i="2" s="1"/>
  <c r="R81" i="2"/>
  <c r="R23" i="2"/>
  <c r="U81" i="2"/>
  <c r="J90" i="2"/>
  <c r="J96" i="2"/>
  <c r="K24" i="2"/>
  <c r="K80" i="2"/>
  <c r="U108" i="2"/>
  <c r="I68" i="2"/>
  <c r="I69" i="2" s="1"/>
  <c r="I79" i="2" s="1"/>
  <c r="T23" i="2"/>
  <c r="U10" i="2"/>
  <c r="U15" i="2" s="1"/>
  <c r="U17" i="2" s="1"/>
  <c r="U19" i="2" s="1"/>
  <c r="S10" i="2"/>
  <c r="S15" i="2" s="1"/>
  <c r="S17" i="2" s="1"/>
  <c r="S19" i="2" s="1"/>
  <c r="U23" i="2"/>
  <c r="T108" i="2"/>
  <c r="S23" i="2"/>
  <c r="J10" i="2"/>
  <c r="J26" i="2" s="1"/>
  <c r="R10" i="2"/>
  <c r="R15" i="2" s="1"/>
  <c r="R17" i="2" s="1"/>
  <c r="R19" i="2" s="1"/>
  <c r="J24" i="2"/>
  <c r="J107" i="2"/>
  <c r="J108" i="2" s="1"/>
  <c r="T26" i="2"/>
  <c r="I73" i="2"/>
  <c r="I77" i="2" s="1"/>
  <c r="T27" i="2"/>
  <c r="I108" i="2"/>
  <c r="T28" i="2"/>
  <c r="T29" i="2" s="1"/>
  <c r="J15" i="2"/>
  <c r="J27" i="2" s="1"/>
  <c r="K107" i="2"/>
  <c r="I90" i="2"/>
  <c r="K90" i="2"/>
  <c r="K72" i="2"/>
  <c r="K71" i="2"/>
  <c r="K66" i="2"/>
  <c r="K47" i="2"/>
  <c r="K52" i="2" s="1"/>
  <c r="D7" i="1"/>
  <c r="K10" i="2"/>
  <c r="K15" i="2" s="1"/>
  <c r="K17" i="2" s="1"/>
  <c r="K19" i="2" s="1"/>
  <c r="I10" i="2"/>
  <c r="T83" i="2" l="1"/>
  <c r="R20" i="2"/>
  <c r="R82" i="2" s="1"/>
  <c r="R83" i="2"/>
  <c r="S20" i="2"/>
  <c r="S82" i="2" s="1"/>
  <c r="S83" i="2"/>
  <c r="A81" i="2"/>
  <c r="U28" i="2"/>
  <c r="U29" i="2" s="1"/>
  <c r="U83" i="2"/>
  <c r="U27" i="2"/>
  <c r="U20" i="2"/>
  <c r="U82" i="2" s="1"/>
  <c r="U26" i="2"/>
  <c r="S27" i="2"/>
  <c r="S28" i="2"/>
  <c r="S29" i="2" s="1"/>
  <c r="S26" i="2"/>
  <c r="R26" i="2"/>
  <c r="R28" i="2"/>
  <c r="R29" i="2" s="1"/>
  <c r="R27" i="2"/>
  <c r="K27" i="2"/>
  <c r="J17" i="2"/>
  <c r="J19" i="2" s="1"/>
  <c r="J28" i="2" s="1"/>
  <c r="J29" i="2" s="1"/>
  <c r="K20" i="2"/>
  <c r="K28" i="2"/>
  <c r="K29" i="2" s="1"/>
  <c r="K73" i="2"/>
  <c r="K77" i="2" s="1"/>
  <c r="D9" i="1"/>
  <c r="D10" i="1"/>
  <c r="K108" i="2"/>
  <c r="K26" i="2"/>
  <c r="I26" i="2"/>
  <c r="I15" i="2"/>
  <c r="K68" i="2"/>
  <c r="K69" i="2" s="1"/>
  <c r="C11" i="1"/>
  <c r="C8" i="1"/>
  <c r="A83" i="2" l="1"/>
  <c r="A82" i="2"/>
  <c r="K79" i="2"/>
  <c r="K83" i="2"/>
  <c r="K81" i="2"/>
  <c r="J20" i="2"/>
  <c r="I17" i="2"/>
  <c r="I19" i="2" s="1"/>
  <c r="I27" i="2"/>
  <c r="C12" i="1"/>
  <c r="K82" i="2" l="1"/>
  <c r="I20" i="2"/>
  <c r="I28" i="2"/>
  <c r="I29" i="2" s="1"/>
</calcChain>
</file>

<file path=xl/sharedStrings.xml><?xml version="1.0" encoding="utf-8"?>
<sst xmlns="http://schemas.openxmlformats.org/spreadsheetml/2006/main" count="177" uniqueCount="146">
  <si>
    <t>£TEG</t>
  </si>
  <si>
    <t>Ten Entertainment Group Plc</t>
  </si>
  <si>
    <t>Stock Overview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</si>
  <si>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</si>
  <si>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</si>
  <si>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</si>
  <si>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</si>
  <si>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</si>
  <si>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</si>
  <si>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</si>
  <si>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</si>
  <si>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Profile</t>
  </si>
  <si>
    <t>HQ</t>
  </si>
  <si>
    <t>Founded</t>
  </si>
  <si>
    <t>Sites</t>
  </si>
  <si>
    <t>IR</t>
  </si>
  <si>
    <t>Link</t>
  </si>
  <si>
    <t>CEO/ED</t>
  </si>
  <si>
    <t>Graham Blackwell</t>
  </si>
  <si>
    <t>CFO, ED</t>
  </si>
  <si>
    <t>Antony Smith</t>
  </si>
  <si>
    <t>COO</t>
  </si>
  <si>
    <t>Bret Astle</t>
  </si>
  <si>
    <t>Cranfield, UK</t>
  </si>
  <si>
    <t>Emply.</t>
  </si>
  <si>
    <t>Key Events</t>
  </si>
  <si>
    <t>Dundee &amp; Milton Keynes site due to open in 2023</t>
  </si>
  <si>
    <t>Valuation Metrics</t>
  </si>
  <si>
    <t>P/B</t>
  </si>
  <si>
    <t>P/S</t>
  </si>
  <si>
    <t>EV/S</t>
  </si>
  <si>
    <t>P/E</t>
  </si>
  <si>
    <t>EV/E</t>
  </si>
  <si>
    <t>H122</t>
  </si>
  <si>
    <t>Revenue</t>
  </si>
  <si>
    <t>COGS</t>
  </si>
  <si>
    <t>Gross Profit</t>
  </si>
  <si>
    <t>Administrative</t>
  </si>
  <si>
    <t>Loss on JV</t>
  </si>
  <si>
    <t>Reversal of Impairment</t>
  </si>
  <si>
    <t>Exceptional Income</t>
  </si>
  <si>
    <t>Operating Profit</t>
  </si>
  <si>
    <t>Finance Costs</t>
  </si>
  <si>
    <t>Pretax Income</t>
  </si>
  <si>
    <t>Taxes</t>
  </si>
  <si>
    <t>Net Income</t>
  </si>
  <si>
    <t>EPS</t>
  </si>
  <si>
    <t>H121</t>
  </si>
  <si>
    <t>Revenue Y/Y</t>
  </si>
  <si>
    <t>Revenue H/H</t>
  </si>
  <si>
    <t>Gross Margin</t>
  </si>
  <si>
    <t>Operating Margin</t>
  </si>
  <si>
    <t>Net Margin</t>
  </si>
  <si>
    <t>Tax Rate</t>
  </si>
  <si>
    <t>Non-Finance Metrics</t>
  </si>
  <si>
    <t>Update</t>
  </si>
  <si>
    <t>Joint Ventures</t>
  </si>
  <si>
    <t>H221</t>
  </si>
  <si>
    <t>FY18</t>
  </si>
  <si>
    <t>FY19</t>
  </si>
  <si>
    <t>FY20</t>
  </si>
  <si>
    <t>FY21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</si>
  <si>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</si>
  <si>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</si>
  <si>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</si>
  <si>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</si>
  <si>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</si>
  <si>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</si>
  <si>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</si>
  <si>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</si>
  <si>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</si>
  <si>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</si>
  <si>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FY33</t>
  </si>
  <si>
    <t>£310k in 50:50 at end of FY19</t>
  </si>
  <si>
    <t>Houdini's Escape Room Ltd.</t>
  </si>
  <si>
    <t>Balance Sheet</t>
  </si>
  <si>
    <t>Goodwill+Intangibles</t>
  </si>
  <si>
    <t>Investments in JV</t>
  </si>
  <si>
    <t>PP&amp;E</t>
  </si>
  <si>
    <t>ROU</t>
  </si>
  <si>
    <t>Deferred Taxes</t>
  </si>
  <si>
    <t>Total NCA</t>
  </si>
  <si>
    <t>Inventories</t>
  </si>
  <si>
    <t>Trade &amp; A/R</t>
  </si>
  <si>
    <t>Tax Receivables</t>
  </si>
  <si>
    <t>Assets</t>
  </si>
  <si>
    <t>Trade &amp; A/P</t>
  </si>
  <si>
    <t>TCL</t>
  </si>
  <si>
    <t>Liabiltiies</t>
  </si>
  <si>
    <t>S/E</t>
  </si>
  <si>
    <t>S/E+L</t>
  </si>
  <si>
    <t>Book Value</t>
  </si>
  <si>
    <t>Book Value per Share</t>
  </si>
  <si>
    <t>Share Price</t>
  </si>
  <si>
    <t>Cashflow Statement</t>
  </si>
  <si>
    <t>Cash from Operations</t>
  </si>
  <si>
    <t>Corporation Tax Received</t>
  </si>
  <si>
    <t>Finance Costs Paid</t>
  </si>
  <si>
    <t>CFFO</t>
  </si>
  <si>
    <t>Acquisition of Sites</t>
  </si>
  <si>
    <t>Purchase of PP&amp;E</t>
  </si>
  <si>
    <t>Purchase of Software</t>
  </si>
  <si>
    <t>CFFI</t>
  </si>
  <si>
    <t>Lease Principal Payments</t>
  </si>
  <si>
    <t>Drawdown of Bank Borrowings</t>
  </si>
  <si>
    <t>Repayment of Borrowings</t>
  </si>
  <si>
    <t>CFFF</t>
  </si>
  <si>
    <t>CapEx</t>
  </si>
  <si>
    <t>FCF</t>
  </si>
  <si>
    <t>Bank Borrowings &amp; Lease</t>
  </si>
  <si>
    <t>Businesses</t>
  </si>
  <si>
    <t>H220</t>
  </si>
  <si>
    <t>H219</t>
  </si>
  <si>
    <t>H218</t>
  </si>
  <si>
    <t>H118</t>
  </si>
  <si>
    <t>H119</t>
  </si>
  <si>
    <t>H120</t>
  </si>
  <si>
    <t>Employees</t>
  </si>
  <si>
    <t>-</t>
  </si>
  <si>
    <t>Centres</t>
  </si>
  <si>
    <t>Site Staff</t>
  </si>
  <si>
    <t>Administration</t>
  </si>
  <si>
    <t>Unit Management</t>
  </si>
  <si>
    <t>Proceeds from Share Issue</t>
  </si>
  <si>
    <t>Costs from Share Issue</t>
  </si>
  <si>
    <t>Dividends Paid</t>
  </si>
  <si>
    <t>Bowling</t>
  </si>
  <si>
    <t>Food &amp; Drink</t>
  </si>
  <si>
    <t>Machines &amp; Amusements</t>
  </si>
  <si>
    <t>Other</t>
  </si>
  <si>
    <t>Investment in Joint Venture</t>
  </si>
  <si>
    <t>Cash costs from New Borrowing</t>
  </si>
  <si>
    <t>FY16</t>
  </si>
  <si>
    <t>FY17</t>
  </si>
  <si>
    <t>Corporation Tax Payable</t>
  </si>
  <si>
    <t>Provisions</t>
  </si>
  <si>
    <t>Other Non-Current Liabilities</t>
  </si>
  <si>
    <t>Shareholder Loan Notes</t>
  </si>
  <si>
    <t>.</t>
  </si>
  <si>
    <t>IPO</t>
  </si>
  <si>
    <t>H222</t>
  </si>
  <si>
    <t>H123</t>
  </si>
  <si>
    <t>H223</t>
  </si>
  <si>
    <t>• Bowling prices still frozen at 2019 levels to maintain attractive proposition</t>
  </si>
  <si>
    <t>FY22</t>
  </si>
  <si>
    <t>(EST)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</si>
</sst>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8"/>
      <color theme="1" tint="0.499984740745262"/>
      <name val="Arial"/>
      <family val="2"/>
    </font>
    <font>
      <b/>
      <sz val="10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8"/>
      <color theme="4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3" borderId="4" xfId="0" applyFont="1" applyFill="1" applyBorder="1"/>
    <xf numFmtId="0" fontId="3" fillId="3" borderId="6" xfId="0" applyFont="1" applyFill="1" applyBorder="1"/>
    <xf numFmtId="164" fontId="1" fillId="0" borderId="0" xfId="0" applyNumberFormat="1" applyFont="1"/>
    <xf numFmtId="164" fontId="1" fillId="0" borderId="7" xfId="0" applyNumberFormat="1" applyFont="1" applyBorder="1"/>
    <xf numFmtId="0" fontId="3" fillId="3" borderId="4" xfId="0" applyFont="1" applyFill="1" applyBorder="1" applyAlignment="1">
      <alignment horizontal="center"/>
    </xf>
    <xf numFmtId="0" fontId="1" fillId="4" borderId="0" xfId="0" applyFont="1" applyFill="1"/>
    <xf numFmtId="0" fontId="1" fillId="4" borderId="5" xfId="0" applyFont="1" applyFill="1" applyBorder="1"/>
    <xf numFmtId="0" fontId="3" fillId="3" borderId="6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/>
    <xf numFmtId="16" fontId="6" fillId="0" borderId="0" xfId="0" applyNumberFormat="1" applyFont="1"/>
    <xf numFmtId="0" fontId="7" fillId="0" borderId="0" xfId="0" applyFont="1"/>
    <xf numFmtId="0" fontId="5" fillId="0" borderId="0" xfId="1" applyFont="1" applyAlignment="1">
      <alignment horizontal="right"/>
    </xf>
    <xf numFmtId="14" fontId="6" fillId="0" borderId="0" xfId="0" applyNumberFormat="1" applyFont="1"/>
    <xf numFmtId="9" fontId="3" fillId="0" borderId="0" xfId="0" applyNumberFormat="1" applyFont="1"/>
    <xf numFmtId="0" fontId="8" fillId="0" borderId="0" xfId="0" applyFont="1"/>
    <xf numFmtId="9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16" fontId="1" fillId="4" borderId="5" xfId="0" applyNumberFormat="1" applyFont="1" applyFill="1" applyBorder="1" applyAlignment="1">
      <alignment horizontal="center"/>
    </xf>
    <xf numFmtId="164" fontId="3" fillId="0" borderId="0" xfId="0" applyNumberFormat="1" applyFont="1"/>
    <xf numFmtId="0" fontId="1" fillId="4" borderId="6" xfId="0" applyFont="1" applyFill="1" applyBorder="1"/>
    <xf numFmtId="0" fontId="3" fillId="5" borderId="0" xfId="0" applyFont="1" applyFill="1" applyAlignment="1">
      <alignment horizontal="right"/>
    </xf>
    <xf numFmtId="0" fontId="6" fillId="5" borderId="0" xfId="0" applyFont="1" applyFill="1"/>
    <xf numFmtId="0" fontId="3" fillId="5" borderId="0" xfId="0" applyFont="1" applyFill="1"/>
    <xf numFmtId="0" fontId="1" fillId="5" borderId="0" xfId="0" applyFont="1" applyFill="1"/>
    <xf numFmtId="2" fontId="1" fillId="5" borderId="0" xfId="0" applyNumberFormat="1" applyFont="1" applyFill="1"/>
    <xf numFmtId="165" fontId="1" fillId="5" borderId="0" xfId="0" applyNumberFormat="1" applyFont="1" applyFill="1"/>
    <xf numFmtId="0" fontId="3" fillId="4" borderId="4" xfId="0" applyFont="1" applyFill="1" applyBorder="1"/>
    <xf numFmtId="0" fontId="1" fillId="4" borderId="4" xfId="0" applyFont="1" applyFill="1" applyBorder="1" applyAlignment="1">
      <alignment horizontal="left" indent="1"/>
    </xf>
    <xf numFmtId="0" fontId="9" fillId="0" borderId="0" xfId="0" applyFont="1"/>
    <xf numFmtId="0" fontId="9" fillId="5" borderId="0" xfId="0" applyFont="1" applyFill="1"/>
    <xf numFmtId="164" fontId="9" fillId="0" borderId="0" xfId="0" applyNumberFormat="1" applyFont="1"/>
    <xf numFmtId="0" fontId="3" fillId="4" borderId="4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164" fontId="1" fillId="5" borderId="0" xfId="0" applyNumberFormat="1" applyFont="1" applyFill="1"/>
    <xf numFmtId="164" fontId="3" fillId="5" borderId="0" xfId="0" applyNumberFormat="1" applyFont="1" applyFill="1"/>
    <xf numFmtId="0" fontId="1" fillId="4" borderId="6" xfId="0" applyFont="1" applyFill="1" applyBorder="1" applyAlignment="1">
      <alignment horizontal="left" indent="1"/>
    </xf>
    <xf numFmtId="14" fontId="6" fillId="5" borderId="0" xfId="0" applyNumberFormat="1" applyFont="1" applyFill="1"/>
    <xf numFmtId="9" fontId="1" fillId="5" borderId="0" xfId="0" applyNumberFormat="1" applyFont="1" applyFill="1"/>
    <xf numFmtId="9" fontId="1" fillId="0" borderId="0" xfId="0" applyNumberFormat="1" applyFont="1" applyAlignment="1">
      <alignment horizontal="right"/>
    </xf>
    <xf numFmtId="3" fontId="9" fillId="0" borderId="0" xfId="0" applyNumberFormat="1" applyFont="1" applyAlignment="1">
      <alignment horizontal="left" indent="1"/>
    </xf>
    <xf numFmtId="3" fontId="9" fillId="0" borderId="0" xfId="0" applyNumberFormat="1" applyFont="1"/>
    <xf numFmtId="3" fontId="9" fillId="5" borderId="0" xfId="0" applyNumberFormat="1" applyFont="1" applyFill="1"/>
    <xf numFmtId="3" fontId="3" fillId="0" borderId="0" xfId="0" applyNumberFormat="1" applyFont="1"/>
    <xf numFmtId="3" fontId="3" fillId="5" borderId="0" xfId="0" applyNumberFormat="1" applyFont="1" applyFill="1"/>
    <xf numFmtId="164" fontId="9" fillId="0" borderId="0" xfId="0" applyNumberFormat="1" applyFont="1" applyAlignment="1">
      <alignment horizontal="left" indent="1"/>
    </xf>
    <xf numFmtId="164" fontId="9" fillId="5" borderId="0" xfId="0" applyNumberFormat="1" applyFont="1" applyFill="1"/>
    <xf numFmtId="166" fontId="1" fillId="0" borderId="0" xfId="0" applyNumberFormat="1" applyFont="1"/>
    <xf numFmtId="166" fontId="1" fillId="5" borderId="0" xfId="0" applyNumberFormat="1" applyFont="1" applyFill="1"/>
    <xf numFmtId="165" fontId="3" fillId="0" borderId="0" xfId="0" applyNumberFormat="1" applyFont="1"/>
    <xf numFmtId="166" fontId="10" fillId="0" borderId="0" xfId="0" applyNumberFormat="1" applyFont="1"/>
    <xf numFmtId="164" fontId="9" fillId="0" borderId="0" xfId="0" applyNumberFormat="1" applyFont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" fontId="1" fillId="4" borderId="0" xfId="0" applyNumberFormat="1" applyFont="1" applyFill="1" applyAlignment="1">
      <alignment horizontal="center"/>
    </xf>
    <xf numFmtId="1" fontId="1" fillId="4" borderId="5" xfId="0" applyNumberFormat="1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66" fontId="1" fillId="4" borderId="0" xfId="0" applyNumberFormat="1" applyFont="1" applyFill="1" applyAlignment="1">
      <alignment horizontal="center"/>
    </xf>
    <xf numFmtId="166" fontId="1" fillId="4" borderId="5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0" fontId="11" fillId="0" borderId="0" xfId="0" applyFont="1"/>
    <xf numFmtId="9" fontId="3" fillId="5" borderId="0" xfId="0" applyNumberFormat="1" applyFont="1" applyFill="1"/>
    <xf numFmtId="16" fontId="6" fillId="5" borderId="0" xfId="0" applyNumberFormat="1" applyFont="1" applyFill="1"/>
    <xf numFmtId="0" fontId="3" fillId="6" borderId="0" xfId="0" applyFont="1" applyFill="1" applyAlignment="1">
      <alignment horizontal="right"/>
    </xf>
    <xf numFmtId="0" fontId="6" fillId="6" borderId="0" xfId="0" applyFont="1" applyFill="1"/>
    <xf numFmtId="164" fontId="9" fillId="6" borderId="0" xfId="0" applyNumberFormat="1" applyFont="1" applyFill="1"/>
    <xf numFmtId="0" fontId="3" fillId="6" borderId="0" xfId="0" applyFont="1" applyFill="1"/>
    <xf numFmtId="0" fontId="1" fillId="6" borderId="0" xfId="0" applyFont="1" applyFill="1"/>
    <xf numFmtId="2" fontId="1" fillId="6" borderId="0" xfId="0" applyNumberFormat="1" applyFont="1" applyFill="1"/>
    <xf numFmtId="165" fontId="1" fillId="6" borderId="0" xfId="0" applyNumberFormat="1" applyFont="1" applyFill="1"/>
    <xf numFmtId="9" fontId="1" fillId="6" borderId="0" xfId="0" applyNumberFormat="1" applyFont="1" applyFill="1"/>
    <xf numFmtId="3" fontId="9" fillId="6" borderId="0" xfId="0" applyNumberFormat="1" applyFont="1" applyFill="1"/>
    <xf numFmtId="3" fontId="3" fillId="6" borderId="0" xfId="0" applyNumberFormat="1" applyFont="1" applyFill="1"/>
    <xf numFmtId="0" fontId="9" fillId="6" borderId="0" xfId="0" applyFont="1" applyFill="1"/>
    <xf numFmtId="164" fontId="1" fillId="6" borderId="0" xfId="0" applyNumberFormat="1" applyFont="1" applyFill="1"/>
    <xf numFmtId="166" fontId="1" fillId="6" borderId="0" xfId="0" applyNumberFormat="1" applyFont="1" applyFill="1"/>
    <xf numFmtId="0" fontId="6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368300</xdr:colOff>
      <xdr:row>0</xdr:row>
      <xdr:rowOff>88900</xdr:rowOff>
    </xdr:from>
    <xdr:to>
      <xdr:col>5</xdr:col>
      <xdr:colOff>317500</xdr:colOff>
      <xdr:row>4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E5E63D-AE7A-17F0-A15B-87674A75F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62300" y="88900"/>
          <a:ext cx="647700" cy="647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127</xdr:row>
      <xdr:rowOff>104775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59D08D9-148C-4C12-8747-FCB7F528FFED}"/>
            </a:ext>
          </a:extLst>
        </xdr:cNvPr>
        <xdr:cNvCxnSpPr/>
      </xdr:nvCxnSpPr>
      <xdr:spPr>
        <a:xfrm>
          <a:off x="9010650" y="0"/>
          <a:ext cx="0" cy="2066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19050</xdr:colOff>
      <xdr:row>0</xdr:row>
      <xdr:rowOff>0</xdr:rowOff>
    </xdr:from>
    <xdr:to>
      <xdr:col>22</xdr:col>
      <xdr:colOff>19050</xdr:colOff>
      <xdr:row>127</xdr:row>
      <xdr:rowOff>104775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FBDB451A-2F43-4C9A-89BC-76E93336F7D5}"/>
            </a:ext>
          </a:extLst>
        </xdr:cNvPr>
        <xdr:cNvCxnSpPr/>
      </xdr:nvCxnSpPr>
      <xdr:spPr>
        <a:xfrm>
          <a:off x="14516100" y="0"/>
          <a:ext cx="0" cy="2066925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tegplc.co.uk/results-reports/results-centr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tegplc.co.uk/files/file/download/id/1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tegplc.co.uk/files/file/download/id/210" TargetMode="External"/><Relationship Id="rId1" Type="http://schemas.openxmlformats.org/officeDocument/2006/relationships/hyperlink" Target="https://www.tegplc.co.uk/files/file/download/id/245" TargetMode="External"/><Relationship Id="rId6" Type="http://schemas.openxmlformats.org/officeDocument/2006/relationships/hyperlink" Target="https://www.tegplc.co.uk/files/file/download/id/255" TargetMode="External"/><Relationship Id="rId5" Type="http://schemas.openxmlformats.org/officeDocument/2006/relationships/hyperlink" Target="https://www.tegplc.co.uk/files/file/download/id/270" TargetMode="External"/><Relationship Id="rId4" Type="http://schemas.openxmlformats.org/officeDocument/2006/relationships/hyperlink" Target="https://www.tegplc.co.uk/files/file/download/id/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FFB80-2819-4CCA-9F78-6AC8529FFC68}">
  <dimension ref="B2:S38"/>
  <sheetViews>
    <sheetView workbookViewId="0">
      <selection activeCell="C34" sqref="C34:D34"/>
    </sheetView>
  </sheetViews>
  <sheetFormatPr defaultColWidth="9.140625" defaultRowHeight="12.75" x14ac:dyDescent="0.2"/>
  <cols>
    <col min="1" max="16384" width="9.140625" style="1"/>
  </cols>
  <sheetData>
    <row r="2" spans="2:19" ht="15" x14ac:dyDescent="0.25">
      <c r="B2" s="2" t="s">
        <v>0</v>
      </c>
      <c r="F2"/>
    </row>
    <row r="3" spans="2:19" x14ac:dyDescent="0.2">
      <c r="B3" s="3" t="s">
        <v>1</v>
      </c>
    </row>
    <row r="5" spans="2:19" x14ac:dyDescent="0.2">
      <c r="B5" s="62" t="s">
        <v>2</v>
      </c>
      <c r="C5" s="63"/>
      <c r="D5" s="64"/>
      <c r="G5" s="62" t="s">
        <v>25</v>
      </c>
      <c r="H5" s="63"/>
      <c r="I5" s="63"/>
      <c r="J5" s="63"/>
      <c r="K5" s="63"/>
      <c r="L5" s="63"/>
      <c r="M5" s="64"/>
      <c r="Q5" s="62" t="s">
        <v>110</v>
      </c>
      <c r="R5" s="63"/>
      <c r="S5" s="64"/>
    </row>
    <row r="6" spans="2:19" x14ac:dyDescent="0.2">
      <c r="B6" s="4" t="s">
        <v>3</v>
      </c>
      <c r="C6" s="1">
        <v>2.75</v>
      </c>
      <c r="D6" s="15"/>
      <c r="G6" s="8"/>
      <c r="H6" s="9"/>
      <c r="I6" s="9"/>
      <c r="J6" s="9"/>
      <c r="K6" s="9"/>
      <c r="L6" s="9"/>
      <c r="M6" s="10"/>
      <c r="Q6" s="38"/>
      <c r="R6" s="9"/>
      <c r="S6" s="10"/>
    </row>
    <row r="7" spans="2:19" x14ac:dyDescent="0.2">
      <c r="B7" s="4" t="s">
        <v>4</v>
      </c>
      <c r="C7" s="27">
        <f>'Financial Model'!M21</f>
        <v>68.496117999999996</v>
      </c>
      <c r="D7" s="15" t="str">
        <f>$C$28</f>
        <v>H123</v>
      </c>
      <c r="G7" s="8"/>
      <c r="H7" s="9"/>
      <c r="I7" s="9"/>
      <c r="J7" s="9"/>
      <c r="K7" s="9"/>
      <c r="L7" s="9"/>
      <c r="M7" s="10"/>
      <c r="Q7" s="38"/>
      <c r="R7" s="9"/>
      <c r="S7" s="10"/>
    </row>
    <row r="8" spans="2:19" x14ac:dyDescent="0.2">
      <c r="B8" s="4" t="s">
        <v>5</v>
      </c>
      <c r="C8" s="6">
        <f>C6*C7</f>
        <v>188.36432449999998</v>
      </c>
      <c r="D8" s="15"/>
      <c r="G8" s="8"/>
      <c r="H8" s="9"/>
      <c r="I8" s="9"/>
      <c r="J8" s="9"/>
      <c r="K8" s="9"/>
      <c r="L8" s="9"/>
      <c r="M8" s="10"/>
      <c r="Q8" s="38"/>
      <c r="R8" s="9"/>
      <c r="S8" s="10"/>
    </row>
    <row r="9" spans="2:19" x14ac:dyDescent="0.2">
      <c r="B9" s="4" t="s">
        <v>6</v>
      </c>
      <c r="C9" s="6">
        <f>'Financial Model'!M71</f>
        <v>5.1369999999999996</v>
      </c>
      <c r="D9" s="15" t="str">
        <f t="shared" ref="D9:D10" si="0">$C$28</f>
        <v>H123</v>
      </c>
      <c r="G9" s="8"/>
      <c r="H9" s="9"/>
      <c r="I9" s="9"/>
      <c r="J9" s="9"/>
      <c r="K9" s="9"/>
      <c r="L9" s="9"/>
      <c r="M9" s="10"/>
      <c r="Q9" s="38"/>
      <c r="R9" s="9"/>
      <c r="S9" s="10"/>
    </row>
    <row r="10" spans="2:19" x14ac:dyDescent="0.2">
      <c r="B10" s="4" t="s">
        <v>7</v>
      </c>
      <c r="C10" s="6">
        <f>'Financial Model'!M72</f>
        <v>206.92000000000002</v>
      </c>
      <c r="D10" s="15" t="str">
        <f t="shared" si="0"/>
        <v>H123</v>
      </c>
      <c r="G10" s="8">
        <v>2023</v>
      </c>
      <c r="H10" s="9" t="s">
        <v>26</v>
      </c>
      <c r="I10" s="9"/>
      <c r="J10" s="9"/>
      <c r="K10" s="9"/>
      <c r="L10" s="9"/>
      <c r="M10" s="10"/>
      <c r="Q10" s="38"/>
      <c r="R10" s="9"/>
      <c r="S10" s="10"/>
    </row>
    <row r="11" spans="2:19" x14ac:dyDescent="0.2">
      <c r="B11" s="4" t="s">
        <v>8</v>
      </c>
      <c r="C11" s="6">
        <f>C9-C10</f>
        <v>-201.78300000000002</v>
      </c>
      <c r="D11" s="15"/>
      <c r="G11" s="8"/>
      <c r="H11" s="9"/>
      <c r="I11" s="9"/>
      <c r="J11" s="9"/>
      <c r="K11" s="9"/>
      <c r="L11" s="9"/>
      <c r="M11" s="10"/>
      <c r="Q11" s="38"/>
      <c r="R11" s="9"/>
      <c r="S11" s="10"/>
    </row>
    <row r="12" spans="2:19" x14ac:dyDescent="0.2">
      <c r="B12" s="5" t="s">
        <v>9</v>
      </c>
      <c r="C12" s="7">
        <f>C8-C11</f>
        <v>390.14732449999997</v>
      </c>
      <c r="D12" s="16"/>
      <c r="G12" s="8"/>
      <c r="H12" s="9"/>
      <c r="I12" s="9"/>
      <c r="J12" s="9"/>
      <c r="K12" s="9"/>
      <c r="L12" s="9"/>
      <c r="M12" s="10"/>
      <c r="Q12" s="38"/>
      <c r="R12" s="9"/>
      <c r="S12" s="10"/>
    </row>
    <row r="13" spans="2:19" x14ac:dyDescent="0.2">
      <c r="G13" s="8"/>
      <c r="H13" s="9"/>
      <c r="I13" s="9"/>
      <c r="J13" s="9"/>
      <c r="K13" s="9"/>
      <c r="L13" s="9"/>
      <c r="M13" s="10"/>
      <c r="Q13" s="38"/>
      <c r="R13" s="9"/>
      <c r="S13" s="10"/>
    </row>
    <row r="14" spans="2:19" x14ac:dyDescent="0.2">
      <c r="G14" s="8"/>
      <c r="H14" s="9"/>
      <c r="I14" s="9"/>
      <c r="J14" s="9"/>
      <c r="K14" s="9"/>
      <c r="L14" s="9"/>
      <c r="M14" s="10"/>
      <c r="Q14" s="38"/>
      <c r="R14" s="9"/>
      <c r="S14" s="10"/>
    </row>
    <row r="15" spans="2:19" x14ac:dyDescent="0.2">
      <c r="B15" s="62" t="s">
        <v>10</v>
      </c>
      <c r="C15" s="63"/>
      <c r="D15" s="64"/>
      <c r="G15" s="8"/>
      <c r="H15" s="9"/>
      <c r="I15" s="9"/>
      <c r="J15" s="9"/>
      <c r="K15" s="9"/>
      <c r="L15" s="9"/>
      <c r="M15" s="10"/>
      <c r="Q15" s="38"/>
      <c r="R15" s="9"/>
      <c r="S15" s="10"/>
    </row>
    <row r="16" spans="2:19" x14ac:dyDescent="0.2">
      <c r="B16" s="42" t="s">
        <v>17</v>
      </c>
      <c r="C16" s="67" t="s">
        <v>18</v>
      </c>
      <c r="D16" s="68"/>
      <c r="G16" s="8"/>
      <c r="H16" s="9"/>
      <c r="I16" s="9"/>
      <c r="J16" s="9"/>
      <c r="K16" s="9"/>
      <c r="L16" s="9"/>
      <c r="M16" s="10"/>
      <c r="Q16" s="46"/>
      <c r="R16" s="13"/>
      <c r="S16" s="14"/>
    </row>
    <row r="17" spans="2:19" x14ac:dyDescent="0.2">
      <c r="B17" s="42" t="s">
        <v>19</v>
      </c>
      <c r="C17" s="67" t="s">
        <v>20</v>
      </c>
      <c r="D17" s="68"/>
      <c r="G17" s="8"/>
      <c r="H17" s="9"/>
      <c r="I17" s="9"/>
      <c r="J17" s="9"/>
      <c r="K17" s="9"/>
      <c r="L17" s="9"/>
      <c r="M17" s="10"/>
    </row>
    <row r="18" spans="2:19" x14ac:dyDescent="0.2">
      <c r="B18" s="42" t="s">
        <v>21</v>
      </c>
      <c r="C18" s="67" t="s">
        <v>22</v>
      </c>
      <c r="D18" s="68"/>
      <c r="G18" s="11"/>
      <c r="H18" s="13"/>
      <c r="I18" s="13"/>
      <c r="J18" s="13"/>
      <c r="K18" s="13"/>
      <c r="L18" s="13"/>
      <c r="M18" s="14"/>
    </row>
    <row r="19" spans="2:19" x14ac:dyDescent="0.2">
      <c r="B19" s="43"/>
      <c r="C19" s="71"/>
      <c r="D19" s="72"/>
      <c r="Q19" s="62" t="s">
        <v>56</v>
      </c>
      <c r="R19" s="63"/>
      <c r="S19" s="64"/>
    </row>
    <row r="20" spans="2:19" x14ac:dyDescent="0.2">
      <c r="Q20" s="37" t="s">
        <v>74</v>
      </c>
      <c r="R20" s="9"/>
      <c r="S20" s="10"/>
    </row>
    <row r="21" spans="2:19" x14ac:dyDescent="0.2">
      <c r="Q21" s="38" t="s">
        <v>73</v>
      </c>
      <c r="R21" s="9"/>
      <c r="S21" s="10"/>
    </row>
    <row r="22" spans="2:19" x14ac:dyDescent="0.2">
      <c r="B22" s="62" t="s">
        <v>11</v>
      </c>
      <c r="C22" s="63"/>
      <c r="D22" s="64"/>
      <c r="Q22" s="30"/>
      <c r="R22" s="13"/>
      <c r="S22" s="14"/>
    </row>
    <row r="23" spans="2:19" x14ac:dyDescent="0.2">
      <c r="B23" s="8" t="s">
        <v>12</v>
      </c>
      <c r="C23" s="67" t="s">
        <v>23</v>
      </c>
      <c r="D23" s="68"/>
    </row>
    <row r="24" spans="2:19" x14ac:dyDescent="0.2">
      <c r="B24" s="8" t="s">
        <v>13</v>
      </c>
      <c r="C24" s="67">
        <v>2009</v>
      </c>
      <c r="D24" s="68"/>
    </row>
    <row r="25" spans="2:19" x14ac:dyDescent="0.2">
      <c r="B25" s="8" t="s">
        <v>14</v>
      </c>
      <c r="C25" s="67">
        <f>'Financial Model'!M34</f>
        <v>51</v>
      </c>
      <c r="D25" s="68"/>
    </row>
    <row r="26" spans="2:19" x14ac:dyDescent="0.2">
      <c r="B26" s="8" t="s">
        <v>24</v>
      </c>
      <c r="C26" s="65">
        <f>'Financial Model'!K38</f>
        <v>1500</v>
      </c>
      <c r="D26" s="66"/>
    </row>
    <row r="27" spans="2:19" x14ac:dyDescent="0.2">
      <c r="B27" s="8" t="s">
        <v>139</v>
      </c>
      <c r="C27" s="69">
        <v>2017</v>
      </c>
      <c r="D27" s="70"/>
    </row>
    <row r="28" spans="2:19" x14ac:dyDescent="0.2">
      <c r="B28" s="8" t="s">
        <v>55</v>
      </c>
      <c r="C28" s="12" t="s">
        <v>141</v>
      </c>
      <c r="D28" s="28">
        <v>45189</v>
      </c>
      <c r="H28" s="77" t="s">
        <v>143</v>
      </c>
    </row>
    <row r="29" spans="2:19" x14ac:dyDescent="0.2">
      <c r="B29" s="11" t="s">
        <v>15</v>
      </c>
      <c r="C29" s="75" t="s">
        <v>16</v>
      </c>
      <c r="D29" s="76"/>
    </row>
    <row r="32" spans="2:19" x14ac:dyDescent="0.2">
      <c r="B32" s="62" t="s">
        <v>27</v>
      </c>
      <c r="C32" s="63"/>
      <c r="D32" s="64"/>
    </row>
    <row r="33" spans="2:4" x14ac:dyDescent="0.2">
      <c r="B33" s="8" t="s">
        <v>28</v>
      </c>
      <c r="C33" s="73">
        <f>C6/'Financial Model'!M69</f>
        <v>2.8119534312627823</v>
      </c>
      <c r="D33" s="74"/>
    </row>
    <row r="34" spans="2:4" x14ac:dyDescent="0.2">
      <c r="B34" s="8" t="s">
        <v>29</v>
      </c>
      <c r="C34" s="73">
        <f>C8/SUM('Financial Model'!L8:M8)</f>
        <v>1.4632398140308083</v>
      </c>
      <c r="D34" s="74"/>
    </row>
    <row r="35" spans="2:4" x14ac:dyDescent="0.2">
      <c r="B35" s="8" t="s">
        <v>30</v>
      </c>
      <c r="C35" s="73">
        <f>C12/SUM('Financial Model'!L8:M8)</f>
        <v>3.0307177331023607</v>
      </c>
      <c r="D35" s="74"/>
    </row>
    <row r="36" spans="2:4" x14ac:dyDescent="0.2">
      <c r="B36" s="8" t="s">
        <v>31</v>
      </c>
      <c r="C36" s="73">
        <f>C6/SUM('Financial Model'!L20:M20)</f>
        <v>9.1425678056593718</v>
      </c>
      <c r="D36" s="74"/>
    </row>
    <row r="37" spans="2:4" x14ac:dyDescent="0.2">
      <c r="B37" s="8" t="s">
        <v>32</v>
      </c>
      <c r="C37" s="73">
        <f>C12/SUM('Financial Model'!L19:M19)</f>
        <v>18.93643277678008</v>
      </c>
      <c r="D37" s="74"/>
    </row>
    <row r="38" spans="2:4" x14ac:dyDescent="0.2">
      <c r="B38" s="11"/>
      <c r="C38" s="71"/>
      <c r="D38" s="72"/>
    </row>
  </sheetData>
  <mergeCells count="23">
    <mergeCell ref="C38:D38"/>
    <mergeCell ref="C37:D37"/>
    <mergeCell ref="C35:D35"/>
    <mergeCell ref="C34:D34"/>
    <mergeCell ref="C29:D29"/>
    <mergeCell ref="C36:D36"/>
    <mergeCell ref="C33:D33"/>
    <mergeCell ref="Q19:S19"/>
    <mergeCell ref="Q5:S5"/>
    <mergeCell ref="C26:D26"/>
    <mergeCell ref="B32:D32"/>
    <mergeCell ref="G5:M5"/>
    <mergeCell ref="B22:D22"/>
    <mergeCell ref="C23:D23"/>
    <mergeCell ref="C24:D24"/>
    <mergeCell ref="C25:D25"/>
    <mergeCell ref="C27:D27"/>
    <mergeCell ref="C19:D19"/>
    <mergeCell ref="B5:D5"/>
    <mergeCell ref="B15:D15"/>
    <mergeCell ref="C16:D16"/>
    <mergeCell ref="C17:D17"/>
    <mergeCell ref="C18:D18"/>
  </mergeCells>
  <hyperlinks>
    <hyperlink ref="C29:D29" r:id="rId1" display="Link" xr:uid="{872569F1-2E0E-45DC-998D-58DC741E9E51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7C83F-EC03-4F38-8C2B-BF6F054B4FFD}">
  <dimension ref="A1:AG108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W2" sqref="W2"/>
    </sheetView>
  </sheetViews>
  <sheetFormatPr defaultColWidth="9.140625" defaultRowHeight="12.75" x14ac:dyDescent="0.2"/>
  <cols>
    <col min="1" max="1" width="8.140625" style="1" bestFit="1" customWidth="1"/>
    <col min="2" max="2" width="26.42578125" style="1" bestFit="1" customWidth="1"/>
    <col min="3" max="3" width="9.140625" style="1"/>
    <col min="4" max="4" width="9.140625" style="34"/>
    <col min="5" max="5" width="9.140625" style="1"/>
    <col min="6" max="6" width="9.140625" style="34"/>
    <col min="7" max="7" width="9.140625" style="1"/>
    <col min="8" max="8" width="9.140625" style="34"/>
    <col min="9" max="9" width="9.140625" style="1"/>
    <col min="10" max="10" width="9.140625" style="34"/>
    <col min="11" max="11" width="9.140625" style="1"/>
    <col min="12" max="12" width="9.140625" style="34"/>
    <col min="13" max="13" width="9.140625" style="1"/>
    <col min="14" max="14" width="9.140625" style="84"/>
    <col min="15" max="22" width="9.140625" style="1"/>
    <col min="23" max="23" width="9.140625" style="84"/>
    <col min="24" max="16384" width="9.140625" style="1"/>
  </cols>
  <sheetData>
    <row r="1" spans="2:33" s="17" customFormat="1" x14ac:dyDescent="0.2">
      <c r="C1" s="17" t="s">
        <v>114</v>
      </c>
      <c r="D1" s="31" t="s">
        <v>113</v>
      </c>
      <c r="E1" s="17" t="s">
        <v>115</v>
      </c>
      <c r="F1" s="31" t="s">
        <v>112</v>
      </c>
      <c r="G1" s="17" t="s">
        <v>116</v>
      </c>
      <c r="H1" s="31" t="s">
        <v>111</v>
      </c>
      <c r="I1" s="17" t="s">
        <v>47</v>
      </c>
      <c r="J1" s="31" t="s">
        <v>57</v>
      </c>
      <c r="K1" s="21" t="s">
        <v>33</v>
      </c>
      <c r="L1" s="31" t="s">
        <v>140</v>
      </c>
      <c r="M1" s="21" t="s">
        <v>141</v>
      </c>
      <c r="N1" s="80" t="s">
        <v>142</v>
      </c>
      <c r="P1" s="17" t="s">
        <v>132</v>
      </c>
      <c r="Q1" s="21" t="s">
        <v>133</v>
      </c>
      <c r="R1" s="17" t="s">
        <v>58</v>
      </c>
      <c r="S1" s="21" t="s">
        <v>59</v>
      </c>
      <c r="T1" s="17" t="s">
        <v>60</v>
      </c>
      <c r="U1" s="21" t="s">
        <v>61</v>
      </c>
      <c r="V1" s="21" t="s">
        <v>144</v>
      </c>
      <c r="W1" s="80" t="s">
        <v>62</v>
      </c>
      <c r="X1" s="17" t="s">
        <v>63</v>
      </c>
      <c r="Y1" s="17" t="s">
        <v>64</v>
      </c>
      <c r="Z1" s="17" t="s">
        <v>65</v>
      </c>
      <c r="AA1" s="17" t="s">
        <v>66</v>
      </c>
      <c r="AB1" s="17" t="s">
        <v>67</v>
      </c>
      <c r="AC1" s="17" t="s">
        <v>68</v>
      </c>
      <c r="AD1" s="17" t="s">
        <v>69</v>
      </c>
      <c r="AE1" s="17" t="s">
        <v>70</v>
      </c>
      <c r="AF1" s="17" t="s">
        <v>71</v>
      </c>
      <c r="AG1" s="17" t="s">
        <v>72</v>
      </c>
    </row>
    <row r="2" spans="2:33" s="18" customFormat="1" x14ac:dyDescent="0.2">
      <c r="B2" s="20"/>
      <c r="D2" s="32"/>
      <c r="E2" s="22">
        <v>43645</v>
      </c>
      <c r="F2" s="32"/>
      <c r="G2" s="22">
        <v>44010</v>
      </c>
      <c r="H2" s="32"/>
      <c r="I2" s="22">
        <v>44374</v>
      </c>
      <c r="J2" s="47">
        <f>U2</f>
        <v>44556</v>
      </c>
      <c r="K2" s="22">
        <v>44738</v>
      </c>
      <c r="L2" s="47">
        <f>V2</f>
        <v>44927</v>
      </c>
      <c r="M2" s="22">
        <v>45109</v>
      </c>
      <c r="N2" s="93" t="s">
        <v>145</v>
      </c>
      <c r="P2" s="22">
        <v>42736</v>
      </c>
      <c r="Q2" s="22">
        <v>43100</v>
      </c>
      <c r="R2" s="22">
        <v>43464</v>
      </c>
      <c r="S2" s="22">
        <v>43828</v>
      </c>
      <c r="T2" s="22">
        <v>44192</v>
      </c>
      <c r="U2" s="22">
        <v>44556</v>
      </c>
      <c r="V2" s="22">
        <v>44927</v>
      </c>
      <c r="W2" s="93" t="s">
        <v>145</v>
      </c>
    </row>
    <row r="3" spans="2:33" s="18" customFormat="1" x14ac:dyDescent="0.2">
      <c r="B3" s="20"/>
      <c r="D3" s="32"/>
      <c r="F3" s="32"/>
      <c r="H3" s="32"/>
      <c r="J3" s="32"/>
      <c r="K3" s="19">
        <v>45190</v>
      </c>
      <c r="L3" s="79">
        <f>V3</f>
        <v>45007</v>
      </c>
      <c r="M3" s="19">
        <v>45189</v>
      </c>
      <c r="N3" s="93"/>
      <c r="Q3" s="19">
        <v>45006</v>
      </c>
      <c r="S3" s="19">
        <v>45059</v>
      </c>
      <c r="U3" s="19">
        <v>45014</v>
      </c>
      <c r="V3" s="19">
        <v>45007</v>
      </c>
      <c r="W3" s="81"/>
    </row>
    <row r="4" spans="2:33" s="41" customFormat="1" x14ac:dyDescent="0.2">
      <c r="B4" s="55" t="s">
        <v>126</v>
      </c>
      <c r="D4" s="56"/>
      <c r="F4" s="56"/>
      <c r="H4" s="56"/>
      <c r="I4" s="41">
        <v>4.8330000000000002</v>
      </c>
      <c r="J4" s="56">
        <f>U4-I4</f>
        <v>24.942999999999998</v>
      </c>
      <c r="K4" s="41">
        <v>28.266999999999999</v>
      </c>
      <c r="L4" s="56">
        <f>V4-K4</f>
        <v>27.462</v>
      </c>
      <c r="M4" s="41">
        <v>27.588999999999999</v>
      </c>
      <c r="N4" s="82"/>
      <c r="P4" s="61" t="s">
        <v>118</v>
      </c>
      <c r="Q4" s="61" t="s">
        <v>118</v>
      </c>
      <c r="R4" s="41">
        <v>36.578000000000003</v>
      </c>
      <c r="S4" s="41">
        <v>39.911999999999999</v>
      </c>
      <c r="T4" s="41">
        <v>16.829999999999998</v>
      </c>
      <c r="U4" s="41">
        <v>29.776</v>
      </c>
      <c r="V4" s="41">
        <v>55.728999999999999</v>
      </c>
      <c r="W4" s="82"/>
    </row>
    <row r="5" spans="2:33" s="41" customFormat="1" x14ac:dyDescent="0.2">
      <c r="B5" s="55" t="s">
        <v>127</v>
      </c>
      <c r="D5" s="56"/>
      <c r="F5" s="56"/>
      <c r="H5" s="56"/>
      <c r="I5" s="41">
        <v>2.875</v>
      </c>
      <c r="J5" s="56">
        <f t="shared" ref="J5:J7" si="0">U5-I5</f>
        <v>16.219000000000001</v>
      </c>
      <c r="K5" s="41">
        <v>17.276</v>
      </c>
      <c r="L5" s="56">
        <f>V5-K5</f>
        <v>18.050999999999998</v>
      </c>
      <c r="M5" s="41">
        <v>18.145</v>
      </c>
      <c r="N5" s="82"/>
      <c r="P5" s="61" t="s">
        <v>118</v>
      </c>
      <c r="Q5" s="61" t="s">
        <v>118</v>
      </c>
      <c r="R5" s="41">
        <v>19.811</v>
      </c>
      <c r="S5" s="41">
        <v>21.425999999999998</v>
      </c>
      <c r="T5" s="41">
        <v>9.8979999999999997</v>
      </c>
      <c r="U5" s="41">
        <v>19.094000000000001</v>
      </c>
      <c r="V5" s="41">
        <v>35.326999999999998</v>
      </c>
      <c r="W5" s="82"/>
    </row>
    <row r="6" spans="2:33" s="41" customFormat="1" x14ac:dyDescent="0.2">
      <c r="B6" s="55" t="s">
        <v>128</v>
      </c>
      <c r="D6" s="56"/>
      <c r="F6" s="56"/>
      <c r="H6" s="56"/>
      <c r="I6" s="41">
        <v>2.5790000000000002</v>
      </c>
      <c r="J6" s="56">
        <f t="shared" si="0"/>
        <v>13.701000000000001</v>
      </c>
      <c r="K6" s="41">
        <v>15.143000000000001</v>
      </c>
      <c r="L6" s="56">
        <f>V6-K6</f>
        <v>15.332000000000001</v>
      </c>
      <c r="M6" s="41">
        <v>16.762</v>
      </c>
      <c r="N6" s="82"/>
      <c r="P6" s="61" t="s">
        <v>118</v>
      </c>
      <c r="Q6" s="61" t="s">
        <v>118</v>
      </c>
      <c r="R6" s="41">
        <v>16.986999999999998</v>
      </c>
      <c r="S6" s="41">
        <v>19.649000000000001</v>
      </c>
      <c r="T6" s="41">
        <v>8.298</v>
      </c>
      <c r="U6" s="41">
        <v>16.28</v>
      </c>
      <c r="V6" s="41">
        <v>30.475000000000001</v>
      </c>
      <c r="W6" s="82"/>
    </row>
    <row r="7" spans="2:33" s="41" customFormat="1" x14ac:dyDescent="0.2">
      <c r="B7" s="55" t="s">
        <v>129</v>
      </c>
      <c r="D7" s="56"/>
      <c r="F7" s="56"/>
      <c r="H7" s="56"/>
      <c r="I7" s="41">
        <v>0.32300000000000001</v>
      </c>
      <c r="J7" s="56">
        <f t="shared" si="0"/>
        <v>2.048</v>
      </c>
      <c r="K7" s="41">
        <v>2.552</v>
      </c>
      <c r="L7" s="56">
        <f>V7-K7</f>
        <v>2.5900000000000003</v>
      </c>
      <c r="M7" s="41">
        <v>2.8</v>
      </c>
      <c r="N7" s="82"/>
      <c r="P7" s="61" t="s">
        <v>118</v>
      </c>
      <c r="Q7" s="61" t="s">
        <v>118</v>
      </c>
      <c r="R7" s="41">
        <v>2.9740000000000002</v>
      </c>
      <c r="S7" s="41">
        <v>3.1349999999999998</v>
      </c>
      <c r="T7" s="41">
        <v>1.2430000000000001</v>
      </c>
      <c r="U7" s="41">
        <v>2.371</v>
      </c>
      <c r="V7" s="41">
        <v>5.1420000000000003</v>
      </c>
      <c r="W7" s="82"/>
    </row>
    <row r="8" spans="2:33" s="3" customFormat="1" x14ac:dyDescent="0.2">
      <c r="B8" s="3" t="s">
        <v>34</v>
      </c>
      <c r="D8" s="33"/>
      <c r="F8" s="33"/>
      <c r="H8" s="33"/>
      <c r="I8" s="29">
        <v>10.61</v>
      </c>
      <c r="J8" s="45">
        <f>U8-I8</f>
        <v>56.911000000000001</v>
      </c>
      <c r="K8" s="29">
        <v>63.238</v>
      </c>
      <c r="L8" s="45">
        <f>V8-K8</f>
        <v>63.435000000000002</v>
      </c>
      <c r="M8" s="29">
        <f>SUM(M4:M7)</f>
        <v>65.295999999999992</v>
      </c>
      <c r="N8" s="83"/>
      <c r="P8" s="29">
        <v>67.319000000000003</v>
      </c>
      <c r="Q8" s="29">
        <v>71.040000000000006</v>
      </c>
      <c r="R8" s="29">
        <f>SUM(R4:R7)</f>
        <v>76.350000000000009</v>
      </c>
      <c r="S8" s="29">
        <f>SUM(S4:S7)</f>
        <v>84.122</v>
      </c>
      <c r="T8" s="29">
        <f>SUM(T4:T7)</f>
        <v>36.268999999999998</v>
      </c>
      <c r="U8" s="29">
        <f>SUM(U4:U7)</f>
        <v>67.521000000000001</v>
      </c>
      <c r="V8" s="29">
        <f>SUM(V4:V7)</f>
        <v>126.673</v>
      </c>
      <c r="W8" s="83"/>
    </row>
    <row r="9" spans="2:33" x14ac:dyDescent="0.2">
      <c r="B9" s="1" t="s">
        <v>35</v>
      </c>
      <c r="I9" s="6">
        <v>4.1539999999999999</v>
      </c>
      <c r="J9" s="44">
        <f>U9-I9</f>
        <v>18.356999999999999</v>
      </c>
      <c r="K9" s="6">
        <v>19.707000000000001</v>
      </c>
      <c r="L9" s="44">
        <f>V9-K9</f>
        <v>21.207999999999998</v>
      </c>
      <c r="M9" s="6">
        <v>21.207999999999998</v>
      </c>
      <c r="P9" s="6">
        <v>20.638999999999999</v>
      </c>
      <c r="Q9" s="6">
        <v>21.478000000000002</v>
      </c>
      <c r="R9" s="6">
        <v>22.422999999999998</v>
      </c>
      <c r="S9" s="6">
        <v>24.93</v>
      </c>
      <c r="T9" s="6">
        <v>14.095000000000001</v>
      </c>
      <c r="U9" s="6">
        <v>22.510999999999999</v>
      </c>
      <c r="V9" s="6">
        <v>40.914999999999999</v>
      </c>
    </row>
    <row r="10" spans="2:33" s="3" customFormat="1" x14ac:dyDescent="0.2">
      <c r="B10" s="3" t="s">
        <v>36</v>
      </c>
      <c r="D10" s="33"/>
      <c r="F10" s="33"/>
      <c r="H10" s="33"/>
      <c r="I10" s="29">
        <f>I8-I9</f>
        <v>6.4559999999999995</v>
      </c>
      <c r="J10" s="45">
        <f>J8-J9</f>
        <v>38.554000000000002</v>
      </c>
      <c r="K10" s="29">
        <f>K8-K9</f>
        <v>43.530999999999999</v>
      </c>
      <c r="L10" s="45">
        <f>L8-L9</f>
        <v>42.227000000000004</v>
      </c>
      <c r="M10" s="29">
        <f>M8-M9</f>
        <v>44.087999999999994</v>
      </c>
      <c r="N10" s="83"/>
      <c r="P10" s="29">
        <f t="shared" ref="P10:T10" si="1">P8-P9</f>
        <v>46.680000000000007</v>
      </c>
      <c r="Q10" s="29">
        <f t="shared" si="1"/>
        <v>49.562000000000005</v>
      </c>
      <c r="R10" s="29">
        <f t="shared" si="1"/>
        <v>53.927000000000007</v>
      </c>
      <c r="S10" s="29">
        <f t="shared" si="1"/>
        <v>59.192</v>
      </c>
      <c r="T10" s="29">
        <f t="shared" si="1"/>
        <v>22.173999999999999</v>
      </c>
      <c r="U10" s="29">
        <f>U8-U9</f>
        <v>45.010000000000005</v>
      </c>
      <c r="V10" s="29">
        <f>V8-V9</f>
        <v>85.75800000000001</v>
      </c>
      <c r="W10" s="83"/>
    </row>
    <row r="11" spans="2:33" x14ac:dyDescent="0.2">
      <c r="B11" s="1" t="s">
        <v>37</v>
      </c>
      <c r="I11" s="6">
        <v>14.558999999999999</v>
      </c>
      <c r="J11" s="44">
        <f t="shared" ref="J11:J18" si="2">U11-I11</f>
        <v>21.152000000000001</v>
      </c>
      <c r="K11" s="6">
        <v>24.021999999999998</v>
      </c>
      <c r="L11" s="44">
        <f t="shared" ref="L11:L14" si="3">V11-K11</f>
        <v>28.119</v>
      </c>
      <c r="M11" s="6">
        <v>24.757999999999999</v>
      </c>
      <c r="P11" s="6">
        <v>36.923999999999999</v>
      </c>
      <c r="Q11" s="6">
        <v>39.64</v>
      </c>
      <c r="R11" s="6">
        <v>42.564999999999998</v>
      </c>
      <c r="S11" s="6">
        <v>46.609000000000002</v>
      </c>
      <c r="T11" s="6">
        <v>35.503999999999998</v>
      </c>
      <c r="U11" s="6">
        <v>35.710999999999999</v>
      </c>
      <c r="V11" s="6">
        <v>52.140999999999998</v>
      </c>
    </row>
    <row r="12" spans="2:33" x14ac:dyDescent="0.2">
      <c r="B12" s="1" t="s">
        <v>38</v>
      </c>
      <c r="I12" s="6">
        <v>0</v>
      </c>
      <c r="J12" s="44">
        <f t="shared" si="2"/>
        <v>0</v>
      </c>
      <c r="K12" s="6">
        <v>0.31</v>
      </c>
      <c r="L12" s="44">
        <f t="shared" si="3"/>
        <v>0</v>
      </c>
      <c r="M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0</v>
      </c>
      <c r="V12" s="6">
        <v>0.31</v>
      </c>
    </row>
    <row r="13" spans="2:33" x14ac:dyDescent="0.2">
      <c r="B13" s="1" t="s">
        <v>39</v>
      </c>
      <c r="I13" s="6">
        <v>0</v>
      </c>
      <c r="J13" s="44">
        <f t="shared" si="2"/>
        <v>1.1240000000000001</v>
      </c>
      <c r="K13" s="6">
        <v>0.747</v>
      </c>
      <c r="L13" s="44">
        <f t="shared" si="3"/>
        <v>-0.11599999999999999</v>
      </c>
      <c r="M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-2.5209999999999999</v>
      </c>
      <c r="U13" s="6">
        <v>1.1240000000000001</v>
      </c>
      <c r="V13" s="6">
        <v>0.63100000000000001</v>
      </c>
    </row>
    <row r="14" spans="2:33" x14ac:dyDescent="0.2">
      <c r="B14" s="1" t="s">
        <v>40</v>
      </c>
      <c r="I14" s="6">
        <v>0</v>
      </c>
      <c r="J14" s="44">
        <f t="shared" si="2"/>
        <v>0</v>
      </c>
      <c r="K14" s="6">
        <v>4.601</v>
      </c>
      <c r="L14" s="44">
        <f t="shared" si="3"/>
        <v>2.6619999999999999</v>
      </c>
      <c r="M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0</v>
      </c>
      <c r="V14" s="6">
        <v>7.2629999999999999</v>
      </c>
    </row>
    <row r="15" spans="2:33" s="3" customFormat="1" x14ac:dyDescent="0.2">
      <c r="B15" s="3" t="s">
        <v>41</v>
      </c>
      <c r="D15" s="33"/>
      <c r="F15" s="33"/>
      <c r="H15" s="33"/>
      <c r="I15" s="29">
        <f>I10-I11-I12+I13+I14</f>
        <v>-8.1029999999999998</v>
      </c>
      <c r="J15" s="45">
        <f>J10-J11-J12+J13+J14</f>
        <v>18.526</v>
      </c>
      <c r="K15" s="29">
        <f>K10-K11-K12+K13+K14</f>
        <v>24.547000000000001</v>
      </c>
      <c r="L15" s="45">
        <f>L10-L11-L12+L13+L14</f>
        <v>16.654000000000003</v>
      </c>
      <c r="M15" s="29">
        <f>M10-M11-M12+M13+M14</f>
        <v>19.329999999999995</v>
      </c>
      <c r="N15" s="83"/>
      <c r="P15" s="29">
        <f t="shared" ref="P15:T15" si="4">P10-P11-P12+P13+P14</f>
        <v>9.7560000000000073</v>
      </c>
      <c r="Q15" s="29">
        <f t="shared" si="4"/>
        <v>9.9220000000000041</v>
      </c>
      <c r="R15" s="29">
        <f t="shared" si="4"/>
        <v>11.362000000000009</v>
      </c>
      <c r="S15" s="29">
        <f t="shared" si="4"/>
        <v>12.582999999999998</v>
      </c>
      <c r="T15" s="29">
        <f t="shared" si="4"/>
        <v>-15.850999999999999</v>
      </c>
      <c r="U15" s="29">
        <f>U10-U11-U12+U13+U14</f>
        <v>10.423000000000007</v>
      </c>
      <c r="V15" s="29">
        <f>V10-V11-V12+V13+V14</f>
        <v>41.201000000000008</v>
      </c>
      <c r="W15" s="83"/>
    </row>
    <row r="16" spans="2:33" x14ac:dyDescent="0.2">
      <c r="B16" s="1" t="s">
        <v>42</v>
      </c>
      <c r="I16" s="6">
        <v>-2.6659999999999999</v>
      </c>
      <c r="J16" s="44">
        <f t="shared" si="2"/>
        <v>-3.32</v>
      </c>
      <c r="K16" s="6">
        <v>-3.532</v>
      </c>
      <c r="L16" s="44">
        <f>V16-K16</f>
        <v>-3.6740000000000004</v>
      </c>
      <c r="M16" s="6">
        <v>-3.5760000000000001</v>
      </c>
      <c r="P16" s="6">
        <f>0.904-5.224</f>
        <v>-4.32</v>
      </c>
      <c r="Q16" s="6">
        <f>-0.703-1.927</f>
        <v>-2.63</v>
      </c>
      <c r="R16" s="6">
        <v>-0.69299999999999995</v>
      </c>
      <c r="S16" s="6">
        <v>-0.78800000000000003</v>
      </c>
      <c r="T16" s="6">
        <v>-5.8150000000000004</v>
      </c>
      <c r="U16" s="6">
        <v>-5.9859999999999998</v>
      </c>
      <c r="V16" s="6">
        <v>-7.2060000000000004</v>
      </c>
    </row>
    <row r="17" spans="2:23" x14ac:dyDescent="0.2">
      <c r="B17" s="1" t="s">
        <v>43</v>
      </c>
      <c r="I17" s="6">
        <f>I15+I16</f>
        <v>-10.769</v>
      </c>
      <c r="J17" s="44">
        <f>J15+J16</f>
        <v>15.206</v>
      </c>
      <c r="K17" s="6">
        <f>K15+K16</f>
        <v>21.015000000000001</v>
      </c>
      <c r="L17" s="44">
        <f>L15+L16</f>
        <v>12.980000000000004</v>
      </c>
      <c r="M17" s="6">
        <f>M15+M16</f>
        <v>15.753999999999994</v>
      </c>
      <c r="P17" s="6">
        <f t="shared" ref="P17:R17" si="5">P15+P16</f>
        <v>5.436000000000007</v>
      </c>
      <c r="Q17" s="6">
        <f t="shared" si="5"/>
        <v>7.2920000000000043</v>
      </c>
      <c r="R17" s="6">
        <f t="shared" si="5"/>
        <v>10.669000000000009</v>
      </c>
      <c r="S17" s="6">
        <f t="shared" ref="S17" si="6">S15+S16</f>
        <v>11.794999999999998</v>
      </c>
      <c r="T17" s="6">
        <f>T15+T16</f>
        <v>-21.666</v>
      </c>
      <c r="U17" s="6">
        <f>U15+U16</f>
        <v>4.4370000000000074</v>
      </c>
      <c r="V17" s="6">
        <f>V15+V16</f>
        <v>33.995000000000005</v>
      </c>
    </row>
    <row r="18" spans="2:23" x14ac:dyDescent="0.2">
      <c r="B18" s="1" t="s">
        <v>44</v>
      </c>
      <c r="I18" s="6">
        <v>-1.97</v>
      </c>
      <c r="J18" s="44">
        <f t="shared" si="2"/>
        <v>2.4020000000000001</v>
      </c>
      <c r="K18" s="6">
        <v>2.7210000000000001</v>
      </c>
      <c r="L18" s="44">
        <f>V18-K18</f>
        <v>4.6779999999999999</v>
      </c>
      <c r="M18" s="6">
        <v>3.4529999999999998</v>
      </c>
      <c r="P18" s="6">
        <v>1.8049999999999999</v>
      </c>
      <c r="Q18" s="6">
        <v>2.1110000000000002</v>
      </c>
      <c r="R18" s="6">
        <v>2.5270000000000001</v>
      </c>
      <c r="S18" s="6">
        <v>2.758</v>
      </c>
      <c r="T18" s="6">
        <v>-3.919</v>
      </c>
      <c r="U18" s="6">
        <v>0.432</v>
      </c>
      <c r="V18" s="6">
        <v>7.399</v>
      </c>
    </row>
    <row r="19" spans="2:23" s="3" customFormat="1" x14ac:dyDescent="0.2">
      <c r="B19" s="3" t="s">
        <v>45</v>
      </c>
      <c r="D19" s="33"/>
      <c r="F19" s="33"/>
      <c r="H19" s="33"/>
      <c r="I19" s="29">
        <f>I17-I18</f>
        <v>-8.7989999999999995</v>
      </c>
      <c r="J19" s="45">
        <f>J17-J18</f>
        <v>12.803999999999998</v>
      </c>
      <c r="K19" s="29">
        <f>K17-K18</f>
        <v>18.294</v>
      </c>
      <c r="L19" s="45">
        <f>L17-L18</f>
        <v>8.3020000000000032</v>
      </c>
      <c r="M19" s="29">
        <f>M17-M18</f>
        <v>12.300999999999995</v>
      </c>
      <c r="N19" s="83"/>
      <c r="P19" s="29">
        <f t="shared" ref="P19:T19" si="7">P17-P18</f>
        <v>3.6310000000000073</v>
      </c>
      <c r="Q19" s="29">
        <f t="shared" si="7"/>
        <v>5.1810000000000045</v>
      </c>
      <c r="R19" s="29">
        <f t="shared" si="7"/>
        <v>8.1420000000000101</v>
      </c>
      <c r="S19" s="29">
        <f t="shared" si="7"/>
        <v>9.036999999999999</v>
      </c>
      <c r="T19" s="29">
        <f t="shared" si="7"/>
        <v>-17.747</v>
      </c>
      <c r="U19" s="29">
        <f>U17-U18</f>
        <v>4.005000000000007</v>
      </c>
      <c r="V19" s="29">
        <f>V17-V18</f>
        <v>26.596000000000004</v>
      </c>
      <c r="W19" s="83"/>
    </row>
    <row r="20" spans="2:23" s="26" customFormat="1" x14ac:dyDescent="0.2">
      <c r="B20" s="26" t="s">
        <v>46</v>
      </c>
      <c r="D20" s="35"/>
      <c r="F20" s="35"/>
      <c r="H20" s="35"/>
      <c r="I20" s="6">
        <f>I19/I21</f>
        <v>-0.12873671520202257</v>
      </c>
      <c r="J20" s="35">
        <f>J19/J21</f>
        <v>0.1873072809736924</v>
      </c>
      <c r="K20" s="26">
        <f>K19/K21</f>
        <v>0.26752851385409882</v>
      </c>
      <c r="L20" s="35">
        <f>L19/L21</f>
        <v>0.12120394910555374</v>
      </c>
      <c r="M20" s="26">
        <f>M19/M21</f>
        <v>0.17958681979612326</v>
      </c>
      <c r="N20" s="85"/>
      <c r="P20" s="26">
        <f t="shared" ref="P20:S20" si="8">P19/P21</f>
        <v>5.5861538461538573E-2</v>
      </c>
      <c r="Q20" s="26">
        <f t="shared" si="8"/>
        <v>7.9707692307692382E-2</v>
      </c>
      <c r="R20" s="26">
        <f t="shared" si="8"/>
        <v>0.12526153846153862</v>
      </c>
      <c r="S20" s="26">
        <f t="shared" si="8"/>
        <v>0.13903076923076921</v>
      </c>
      <c r="T20" s="26">
        <f>T19/T21</f>
        <v>-0.26262619027880874</v>
      </c>
      <c r="U20" s="26">
        <f>U19/U21</f>
        <v>5.8588383341115234E-2</v>
      </c>
      <c r="V20" s="26">
        <f>V19/V21</f>
        <v>0.38828477841620168</v>
      </c>
      <c r="W20" s="85"/>
    </row>
    <row r="21" spans="2:23" s="27" customFormat="1" x14ac:dyDescent="0.2">
      <c r="B21" s="27" t="s">
        <v>4</v>
      </c>
      <c r="D21" s="36"/>
      <c r="F21" s="36"/>
      <c r="H21" s="36"/>
      <c r="I21" s="6">
        <v>68.348799999999997</v>
      </c>
      <c r="J21" s="36">
        <f>U21</f>
        <v>68.358260999999999</v>
      </c>
      <c r="K21" s="27">
        <v>68.381495999999999</v>
      </c>
      <c r="L21" s="36">
        <f>V21</f>
        <v>68.496117999999996</v>
      </c>
      <c r="M21" s="6">
        <v>68.496117999999996</v>
      </c>
      <c r="N21" s="86"/>
      <c r="P21" s="27">
        <v>65</v>
      </c>
      <c r="Q21" s="27">
        <v>65</v>
      </c>
      <c r="R21" s="27">
        <v>65</v>
      </c>
      <c r="S21" s="27">
        <v>65</v>
      </c>
      <c r="T21" s="27">
        <v>67.575134000000006</v>
      </c>
      <c r="U21" s="27">
        <v>68.358260999999999</v>
      </c>
      <c r="V21" s="27">
        <v>68.496117999999996</v>
      </c>
      <c r="W21" s="86"/>
    </row>
    <row r="23" spans="2:23" s="3" customFormat="1" x14ac:dyDescent="0.2">
      <c r="B23" s="3" t="s">
        <v>48</v>
      </c>
      <c r="D23" s="33"/>
      <c r="F23" s="33"/>
      <c r="H23" s="33"/>
      <c r="J23" s="33"/>
      <c r="K23" s="23">
        <f>K8/I8-1</f>
        <v>4.9602262016965133</v>
      </c>
      <c r="L23" s="78">
        <f>L8/J8-1</f>
        <v>0.1146351320482859</v>
      </c>
      <c r="M23" s="23">
        <f>M8/K8-1</f>
        <v>3.254372371042713E-2</v>
      </c>
      <c r="N23" s="83"/>
      <c r="P23" s="49" t="s">
        <v>118</v>
      </c>
      <c r="Q23" s="23">
        <f t="shared" ref="Q23:T23" si="9">Q8/P8-1</f>
        <v>5.5274142515486124E-2</v>
      </c>
      <c r="R23" s="23">
        <f t="shared" si="9"/>
        <v>7.4746621621621712E-2</v>
      </c>
      <c r="S23" s="23">
        <f t="shared" si="9"/>
        <v>0.10179436804191222</v>
      </c>
      <c r="T23" s="23">
        <f t="shared" si="9"/>
        <v>-0.56885238106559521</v>
      </c>
      <c r="U23" s="23">
        <f>U8/T8-1</f>
        <v>0.86167250268824636</v>
      </c>
      <c r="V23" s="23">
        <f t="shared" ref="V23" si="10">V8/U8-1</f>
        <v>0.87605337598673017</v>
      </c>
      <c r="W23" s="83"/>
    </row>
    <row r="24" spans="2:23" s="25" customFormat="1" x14ac:dyDescent="0.2">
      <c r="B24" s="25" t="s">
        <v>49</v>
      </c>
      <c r="D24" s="48"/>
      <c r="F24" s="48"/>
      <c r="H24" s="48"/>
      <c r="J24" s="48">
        <f>J8/I8-1</f>
        <v>4.3639019792648446</v>
      </c>
      <c r="K24" s="25">
        <f>K8/J8-1</f>
        <v>0.11117358682855683</v>
      </c>
      <c r="L24" s="48">
        <f>L8/K8-1</f>
        <v>3.1152155349631894E-3</v>
      </c>
      <c r="M24" s="25">
        <f>M8/L8-1</f>
        <v>2.9337116733664237E-2</v>
      </c>
      <c r="N24" s="87"/>
      <c r="P24" s="49" t="s">
        <v>118</v>
      </c>
      <c r="Q24" s="49" t="s">
        <v>118</v>
      </c>
      <c r="R24" s="49" t="s">
        <v>118</v>
      </c>
      <c r="S24" s="49" t="s">
        <v>118</v>
      </c>
      <c r="T24" s="49" t="s">
        <v>118</v>
      </c>
      <c r="U24" s="49" t="s">
        <v>118</v>
      </c>
      <c r="V24" s="49" t="s">
        <v>118</v>
      </c>
      <c r="W24" s="87"/>
    </row>
    <row r="26" spans="2:23" x14ac:dyDescent="0.2">
      <c r="B26" s="1" t="s">
        <v>50</v>
      </c>
      <c r="I26" s="25">
        <f>I10/I8</f>
        <v>0.60848256361922715</v>
      </c>
      <c r="J26" s="48">
        <f>J10/J8</f>
        <v>0.67744372792606</v>
      </c>
      <c r="K26" s="25">
        <f>K10/K8</f>
        <v>0.68836775356589386</v>
      </c>
      <c r="L26" s="48">
        <f>L10/L8</f>
        <v>0.66567352407976677</v>
      </c>
      <c r="M26" s="25">
        <f>M10/M8</f>
        <v>0.67520215633423175</v>
      </c>
      <c r="P26" s="25">
        <f t="shared" ref="P26:Q26" si="11">P10/P8</f>
        <v>0.69341493486237171</v>
      </c>
      <c r="Q26" s="25">
        <f t="shared" si="11"/>
        <v>0.69766328828828827</v>
      </c>
      <c r="R26" s="25">
        <f t="shared" ref="R26:S26" si="12">R10/R8</f>
        <v>0.70631303208906349</v>
      </c>
      <c r="S26" s="25">
        <f t="shared" si="12"/>
        <v>0.70364470649770572</v>
      </c>
      <c r="T26" s="25">
        <f t="shared" ref="T26" si="13">T10/T8</f>
        <v>0.61137610631668915</v>
      </c>
      <c r="U26" s="25">
        <f>U10/U8</f>
        <v>0.66660742583788757</v>
      </c>
      <c r="V26" s="25">
        <f t="shared" ref="V26" si="14">V10/V8</f>
        <v>0.67700299195566549</v>
      </c>
    </row>
    <row r="27" spans="2:23" x14ac:dyDescent="0.2">
      <c r="B27" s="1" t="s">
        <v>51</v>
      </c>
      <c r="I27" s="25">
        <f>I15/I8</f>
        <v>-0.7637134778510839</v>
      </c>
      <c r="J27" s="48">
        <f>J15/J8</f>
        <v>0.32552582101878369</v>
      </c>
      <c r="K27" s="25">
        <f>K15/K8</f>
        <v>0.38816850627787092</v>
      </c>
      <c r="L27" s="48">
        <f>L15/L8</f>
        <v>0.26253645463860648</v>
      </c>
      <c r="M27" s="25">
        <f>M15/M8</f>
        <v>0.2960365106591521</v>
      </c>
      <c r="P27" s="25">
        <f t="shared" ref="P27:Q27" si="15">P15/P8</f>
        <v>0.14492193882856261</v>
      </c>
      <c r="Q27" s="25">
        <f t="shared" si="15"/>
        <v>0.13966779279279284</v>
      </c>
      <c r="R27" s="25">
        <f t="shared" ref="R27:S27" si="16">R15/R8</f>
        <v>0.14881466928618214</v>
      </c>
      <c r="S27" s="25">
        <f t="shared" si="16"/>
        <v>0.14958037136539787</v>
      </c>
      <c r="T27" s="25">
        <f t="shared" ref="T27" si="17">T15/T8</f>
        <v>-0.43703989633019935</v>
      </c>
      <c r="U27" s="25">
        <f>U15/U8</f>
        <v>0.1543667895913865</v>
      </c>
      <c r="V27" s="25">
        <f t="shared" ref="V27" si="18">V15/V8</f>
        <v>0.32525478989208439</v>
      </c>
    </row>
    <row r="28" spans="2:23" x14ac:dyDescent="0.2">
      <c r="B28" s="1" t="s">
        <v>52</v>
      </c>
      <c r="I28" s="25">
        <f>I19/I8</f>
        <v>-0.82931196983977384</v>
      </c>
      <c r="J28" s="48">
        <f>J19/J8</f>
        <v>0.22498286798685663</v>
      </c>
      <c r="K28" s="25">
        <f>K19/K8</f>
        <v>0.2892880862772384</v>
      </c>
      <c r="L28" s="48">
        <f>L19/L8</f>
        <v>0.1308741231181525</v>
      </c>
      <c r="M28" s="25">
        <f>M19/M8</f>
        <v>0.18838826268071546</v>
      </c>
      <c r="P28" s="25">
        <f t="shared" ref="P28:Q28" si="19">P19/P8</f>
        <v>5.3937224260610039E-2</v>
      </c>
      <c r="Q28" s="25">
        <f t="shared" si="19"/>
        <v>7.2930743243243307E-2</v>
      </c>
      <c r="R28" s="25">
        <f t="shared" ref="R28:S28" si="20">R19/R8</f>
        <v>0.10664047151277026</v>
      </c>
      <c r="S28" s="25">
        <f t="shared" si="20"/>
        <v>0.1074273079574903</v>
      </c>
      <c r="T28" s="25">
        <f t="shared" ref="T28" si="21">T19/T8</f>
        <v>-0.48931594474620199</v>
      </c>
      <c r="U28" s="25">
        <f>U19/U8</f>
        <v>5.9314879815168718E-2</v>
      </c>
      <c r="V28" s="25">
        <f t="shared" ref="V28" si="22">V19/V8</f>
        <v>0.20995792315647377</v>
      </c>
    </row>
    <row r="29" spans="2:23" x14ac:dyDescent="0.2">
      <c r="B29" s="1" t="s">
        <v>53</v>
      </c>
      <c r="I29" s="25">
        <f>I28/I18/I17</f>
        <v>-3.9090959519535243E-2</v>
      </c>
      <c r="J29" s="48">
        <f>J28/J18/J17</f>
        <v>6.1597269271873771E-3</v>
      </c>
      <c r="K29" s="25">
        <f>K28/K18/K17</f>
        <v>5.0590924103622523E-3</v>
      </c>
      <c r="L29" s="48">
        <f>L28/L18/L17</f>
        <v>2.1553553155766402E-3</v>
      </c>
      <c r="M29" s="25">
        <f>M28/M18/M17</f>
        <v>3.4631110778390712E-3</v>
      </c>
      <c r="P29" s="25">
        <f t="shared" ref="P29:Q29" si="23">P28/P18/P17</f>
        <v>5.497078495941693E-3</v>
      </c>
      <c r="Q29" s="25">
        <f t="shared" si="23"/>
        <v>4.7377893376233451E-3</v>
      </c>
      <c r="R29" s="25">
        <f>R28/R18/R17</f>
        <v>3.9554245032928335E-3</v>
      </c>
      <c r="S29" s="25">
        <f>S28/S18/S17</f>
        <v>3.3023453282151893E-3</v>
      </c>
      <c r="T29" s="25">
        <f>T28/T18/T17</f>
        <v>-5.7628241241057991E-3</v>
      </c>
      <c r="U29" s="25">
        <f>U28/U18/U17</f>
        <v>3.0944999444469812E-2</v>
      </c>
      <c r="V29" s="25">
        <f t="shared" ref="V29" si="24">V28/V18/V17</f>
        <v>8.34726488726315E-4</v>
      </c>
    </row>
    <row r="33" spans="2:23" s="3" customFormat="1" x14ac:dyDescent="0.2">
      <c r="B33" s="24" t="s">
        <v>54</v>
      </c>
      <c r="D33" s="33"/>
      <c r="F33" s="33"/>
      <c r="H33" s="33"/>
      <c r="J33" s="33"/>
      <c r="L33" s="33"/>
      <c r="N33" s="83"/>
      <c r="W33" s="83"/>
    </row>
    <row r="34" spans="2:23" x14ac:dyDescent="0.2">
      <c r="B34" s="1" t="s">
        <v>119</v>
      </c>
      <c r="D34" s="34">
        <f>R34</f>
        <v>43</v>
      </c>
      <c r="E34" s="1">
        <v>44</v>
      </c>
      <c r="F34" s="34">
        <f>S34</f>
        <v>45</v>
      </c>
      <c r="G34" s="1">
        <v>45</v>
      </c>
      <c r="H34" s="34">
        <f>T34</f>
        <v>46</v>
      </c>
      <c r="I34" s="1">
        <v>46</v>
      </c>
      <c r="J34" s="34">
        <f>U34</f>
        <v>46</v>
      </c>
      <c r="K34" s="1">
        <v>47</v>
      </c>
      <c r="L34" s="34">
        <f>V34</f>
        <v>48</v>
      </c>
      <c r="M34" s="1">
        <v>51</v>
      </c>
      <c r="P34" s="1">
        <v>38</v>
      </c>
      <c r="Q34" s="1">
        <v>40</v>
      </c>
      <c r="R34" s="1">
        <v>43</v>
      </c>
      <c r="S34" s="1">
        <v>45</v>
      </c>
      <c r="T34" s="1">
        <v>46</v>
      </c>
      <c r="U34" s="1">
        <v>46</v>
      </c>
      <c r="V34" s="1">
        <v>48</v>
      </c>
    </row>
    <row r="35" spans="2:23" s="51" customFormat="1" x14ac:dyDescent="0.2">
      <c r="B35" s="50" t="s">
        <v>120</v>
      </c>
      <c r="D35" s="52"/>
      <c r="F35" s="52"/>
      <c r="H35" s="52"/>
      <c r="J35" s="52">
        <f t="shared" ref="J35:J36" si="25">U35</f>
        <v>1275</v>
      </c>
      <c r="L35" s="52">
        <f>V35</f>
        <v>1449</v>
      </c>
      <c r="N35" s="88"/>
      <c r="P35" s="51">
        <v>812</v>
      </c>
      <c r="Q35" s="51">
        <v>953</v>
      </c>
      <c r="R35" s="51">
        <v>899</v>
      </c>
      <c r="S35" s="51">
        <v>978</v>
      </c>
      <c r="T35" s="51">
        <v>931</v>
      </c>
      <c r="U35" s="51">
        <v>1275</v>
      </c>
      <c r="V35" s="51">
        <v>1449</v>
      </c>
      <c r="W35" s="88"/>
    </row>
    <row r="36" spans="2:23" s="51" customFormat="1" x14ac:dyDescent="0.2">
      <c r="B36" s="50" t="s">
        <v>121</v>
      </c>
      <c r="D36" s="52"/>
      <c r="F36" s="52"/>
      <c r="H36" s="52"/>
      <c r="J36" s="52">
        <f t="shared" si="25"/>
        <v>58</v>
      </c>
      <c r="L36" s="52">
        <f>V36</f>
        <v>65</v>
      </c>
      <c r="N36" s="88"/>
      <c r="P36" s="51">
        <v>38</v>
      </c>
      <c r="Q36" s="51">
        <v>47</v>
      </c>
      <c r="R36" s="51">
        <v>56</v>
      </c>
      <c r="S36" s="51">
        <v>56</v>
      </c>
      <c r="T36" s="51">
        <v>45</v>
      </c>
      <c r="U36" s="51">
        <v>58</v>
      </c>
      <c r="V36" s="51">
        <v>65</v>
      </c>
      <c r="W36" s="88"/>
    </row>
    <row r="37" spans="2:23" s="51" customFormat="1" x14ac:dyDescent="0.2">
      <c r="B37" s="50" t="s">
        <v>122</v>
      </c>
      <c r="D37" s="52"/>
      <c r="F37" s="52"/>
      <c r="H37" s="52"/>
      <c r="J37" s="52">
        <f>U37</f>
        <v>157</v>
      </c>
      <c r="L37" s="52">
        <f>V37</f>
        <v>159</v>
      </c>
      <c r="N37" s="88"/>
      <c r="P37" s="51">
        <v>210</v>
      </c>
      <c r="Q37" s="51">
        <v>134</v>
      </c>
      <c r="R37" s="51">
        <v>127</v>
      </c>
      <c r="S37" s="51">
        <v>153</v>
      </c>
      <c r="T37" s="51">
        <v>150</v>
      </c>
      <c r="U37" s="51">
        <v>157</v>
      </c>
      <c r="V37" s="51">
        <v>159</v>
      </c>
      <c r="W37" s="88"/>
    </row>
    <row r="38" spans="2:23" s="53" customFormat="1" x14ac:dyDescent="0.2">
      <c r="B38" s="53" t="s">
        <v>117</v>
      </c>
      <c r="D38" s="54"/>
      <c r="F38" s="54"/>
      <c r="H38" s="54"/>
      <c r="J38" s="54">
        <f>U38</f>
        <v>1490</v>
      </c>
      <c r="K38" s="53">
        <v>1500</v>
      </c>
      <c r="L38" s="54">
        <f>V38</f>
        <v>1673</v>
      </c>
      <c r="N38" s="89"/>
      <c r="P38" s="53">
        <f t="shared" ref="P38:S38" si="26">SUM(P35:P37)</f>
        <v>1060</v>
      </c>
      <c r="Q38" s="53">
        <f t="shared" si="26"/>
        <v>1134</v>
      </c>
      <c r="R38" s="53">
        <f t="shared" si="26"/>
        <v>1082</v>
      </c>
      <c r="S38" s="53">
        <f t="shared" si="26"/>
        <v>1187</v>
      </c>
      <c r="T38" s="53">
        <f>SUM(T35:T37)</f>
        <v>1126</v>
      </c>
      <c r="U38" s="53">
        <f>SUM(U35:U37)</f>
        <v>1490</v>
      </c>
      <c r="V38" s="53">
        <f>SUM(V35:V37)</f>
        <v>1673</v>
      </c>
      <c r="W38" s="89"/>
    </row>
    <row r="41" spans="2:23" x14ac:dyDescent="0.2">
      <c r="B41" s="24" t="s">
        <v>75</v>
      </c>
    </row>
    <row r="42" spans="2:23" x14ac:dyDescent="0.2">
      <c r="B42" s="1" t="s">
        <v>76</v>
      </c>
      <c r="I42" s="6">
        <f>29.35+0.355</f>
        <v>29.705000000000002</v>
      </c>
      <c r="K42" s="6">
        <f>29.74+0.195</f>
        <v>29.934999999999999</v>
      </c>
      <c r="M42" s="6">
        <f>29.74+0.07</f>
        <v>29.81</v>
      </c>
      <c r="P42" s="6">
        <f>23.552+2.19</f>
        <v>25.742000000000001</v>
      </c>
      <c r="Q42" s="27">
        <f>25.171+1.49</f>
        <v>26.660999999999998</v>
      </c>
      <c r="R42" s="6">
        <f>28.045+0.969</f>
        <v>29.014000000000003</v>
      </c>
      <c r="S42" s="6">
        <f>29.35+0.653</f>
        <v>30.003</v>
      </c>
      <c r="T42" s="6">
        <f>29.35+0.279</f>
        <v>29.629000000000001</v>
      </c>
      <c r="U42" s="6">
        <f>29.35+0.279</f>
        <v>29.629000000000001</v>
      </c>
    </row>
    <row r="43" spans="2:23" x14ac:dyDescent="0.2">
      <c r="B43" s="1" t="s">
        <v>77</v>
      </c>
      <c r="I43" s="6">
        <v>0.31</v>
      </c>
      <c r="K43" s="6">
        <v>0</v>
      </c>
      <c r="M43" s="6">
        <v>0</v>
      </c>
      <c r="P43" s="6">
        <v>0</v>
      </c>
      <c r="Q43" s="27">
        <v>0</v>
      </c>
      <c r="R43" s="6">
        <v>0</v>
      </c>
      <c r="S43" s="6">
        <v>0.31</v>
      </c>
      <c r="T43" s="6">
        <v>0.31</v>
      </c>
      <c r="U43" s="6">
        <v>0.31</v>
      </c>
    </row>
    <row r="44" spans="2:23" x14ac:dyDescent="0.2">
      <c r="B44" s="1" t="s">
        <v>78</v>
      </c>
      <c r="I44" s="6">
        <v>38.566000000000003</v>
      </c>
      <c r="K44" s="6">
        <v>42.151000000000003</v>
      </c>
      <c r="M44" s="6">
        <v>68.204999999999998</v>
      </c>
      <c r="P44" s="6">
        <v>34.72</v>
      </c>
      <c r="Q44" s="27">
        <v>34.890999999999998</v>
      </c>
      <c r="R44" s="6">
        <v>41.716999999999999</v>
      </c>
      <c r="S44" s="6">
        <v>47.247999999999998</v>
      </c>
      <c r="T44" s="6">
        <v>41.453000000000003</v>
      </c>
      <c r="U44" s="6">
        <v>39.53</v>
      </c>
    </row>
    <row r="45" spans="2:23" x14ac:dyDescent="0.2">
      <c r="B45" s="1" t="s">
        <v>79</v>
      </c>
      <c r="I45" s="6">
        <v>156.559</v>
      </c>
      <c r="K45" s="6">
        <v>173.00899999999999</v>
      </c>
      <c r="M45" s="6">
        <v>177.53800000000001</v>
      </c>
      <c r="P45" s="6">
        <v>0</v>
      </c>
      <c r="Q45" s="27">
        <v>0</v>
      </c>
      <c r="R45" s="6">
        <v>0</v>
      </c>
      <c r="S45" s="6">
        <v>0</v>
      </c>
      <c r="T45" s="6">
        <v>157.14500000000001</v>
      </c>
      <c r="U45" s="6">
        <v>167.32400000000001</v>
      </c>
    </row>
    <row r="46" spans="2:23" x14ac:dyDescent="0.2">
      <c r="B46" s="1" t="s">
        <v>80</v>
      </c>
      <c r="I46" s="6">
        <v>6.0880000000000001</v>
      </c>
      <c r="K46" s="6">
        <v>4.2320000000000002</v>
      </c>
      <c r="M46" s="6">
        <v>0</v>
      </c>
      <c r="P46" s="6">
        <v>0</v>
      </c>
      <c r="Q46" s="27">
        <v>0</v>
      </c>
      <c r="R46" s="6">
        <v>0</v>
      </c>
      <c r="S46" s="6">
        <v>0</v>
      </c>
      <c r="T46" s="6">
        <v>4.1180000000000003</v>
      </c>
      <c r="U46" s="6">
        <v>4.3739999999999997</v>
      </c>
    </row>
    <row r="47" spans="2:23" x14ac:dyDescent="0.2">
      <c r="B47" s="1" t="s">
        <v>81</v>
      </c>
      <c r="C47" s="1">
        <f t="shared" ref="C47:J47" si="27">SUM(C42:C46)</f>
        <v>0</v>
      </c>
      <c r="D47" s="34">
        <f t="shared" si="27"/>
        <v>0</v>
      </c>
      <c r="E47" s="1">
        <f t="shared" si="27"/>
        <v>0</v>
      </c>
      <c r="F47" s="34">
        <f t="shared" si="27"/>
        <v>0</v>
      </c>
      <c r="G47" s="1">
        <f t="shared" si="27"/>
        <v>0</v>
      </c>
      <c r="H47" s="34">
        <f t="shared" si="27"/>
        <v>0</v>
      </c>
      <c r="I47" s="6">
        <f t="shared" si="27"/>
        <v>231.22799999999998</v>
      </c>
      <c r="J47" s="34">
        <f t="shared" si="27"/>
        <v>0</v>
      </c>
      <c r="K47" s="6">
        <f>SUM(K42:K46)</f>
        <v>249.32699999999997</v>
      </c>
      <c r="M47" s="6">
        <f>SUM(M42:M46)</f>
        <v>275.553</v>
      </c>
      <c r="P47" s="6">
        <f t="shared" ref="P47:T47" si="28">SUM(P42:P46)</f>
        <v>60.462000000000003</v>
      </c>
      <c r="Q47" s="27">
        <f t="shared" si="28"/>
        <v>61.551999999999992</v>
      </c>
      <c r="R47" s="6">
        <f t="shared" si="28"/>
        <v>70.730999999999995</v>
      </c>
      <c r="S47" s="6">
        <f t="shared" si="28"/>
        <v>77.560999999999993</v>
      </c>
      <c r="T47" s="6">
        <f t="shared" si="28"/>
        <v>232.655</v>
      </c>
      <c r="U47" s="6">
        <f>SUM(U42:U46)</f>
        <v>241.167</v>
      </c>
      <c r="V47" s="6">
        <f>SUM(V42:V46)</f>
        <v>0</v>
      </c>
    </row>
    <row r="48" spans="2:23" s="3" customFormat="1" x14ac:dyDescent="0.2">
      <c r="B48" s="3" t="s">
        <v>82</v>
      </c>
      <c r="D48" s="33"/>
      <c r="F48" s="33"/>
      <c r="H48" s="33"/>
      <c r="I48" s="29">
        <v>1.05</v>
      </c>
      <c r="J48" s="33"/>
      <c r="K48" s="29">
        <v>1.25</v>
      </c>
      <c r="L48" s="33"/>
      <c r="M48" s="29">
        <v>1.462</v>
      </c>
      <c r="N48" s="83"/>
      <c r="P48" s="29">
        <v>1.339</v>
      </c>
      <c r="Q48" s="59">
        <v>1.3560000000000001</v>
      </c>
      <c r="R48" s="29">
        <v>1.5049999999999999</v>
      </c>
      <c r="S48" s="29">
        <v>1.2969999999999999</v>
      </c>
      <c r="T48" s="29">
        <v>0.50800000000000001</v>
      </c>
      <c r="U48" s="29">
        <v>1.226</v>
      </c>
      <c r="W48" s="83"/>
    </row>
    <row r="49" spans="2:23" x14ac:dyDescent="0.2">
      <c r="B49" s="1" t="s">
        <v>83</v>
      </c>
      <c r="I49" s="6">
        <v>1.194</v>
      </c>
      <c r="K49" s="6">
        <v>14.776999999999999</v>
      </c>
      <c r="M49" s="6">
        <v>3.2829999999999999</v>
      </c>
      <c r="P49" s="6">
        <v>3.3460000000000001</v>
      </c>
      <c r="Q49" s="27">
        <v>3.5209999999999999</v>
      </c>
      <c r="R49" s="6">
        <v>4.3070000000000004</v>
      </c>
      <c r="S49" s="6">
        <v>4.9290000000000003</v>
      </c>
      <c r="T49" s="6">
        <v>1.6719999999999999</v>
      </c>
      <c r="U49" s="6">
        <v>5.4260000000000002</v>
      </c>
    </row>
    <row r="50" spans="2:23" s="3" customFormat="1" x14ac:dyDescent="0.2">
      <c r="B50" s="3" t="s">
        <v>6</v>
      </c>
      <c r="D50" s="33"/>
      <c r="F50" s="33"/>
      <c r="H50" s="33"/>
      <c r="I50" s="29">
        <v>17.103000000000002</v>
      </c>
      <c r="J50" s="33"/>
      <c r="K50" s="29">
        <v>7.734</v>
      </c>
      <c r="L50" s="33"/>
      <c r="M50" s="29">
        <v>5.1369999999999996</v>
      </c>
      <c r="N50" s="83"/>
      <c r="P50" s="29">
        <v>10.185</v>
      </c>
      <c r="Q50" s="59">
        <v>5.5709999999999997</v>
      </c>
      <c r="R50" s="29">
        <v>5.298</v>
      </c>
      <c r="S50" s="29">
        <v>2.1880000000000002</v>
      </c>
      <c r="T50" s="29">
        <v>2.302</v>
      </c>
      <c r="U50" s="29">
        <v>11.510999999999999</v>
      </c>
      <c r="W50" s="83"/>
    </row>
    <row r="51" spans="2:23" x14ac:dyDescent="0.2">
      <c r="B51" s="1" t="s">
        <v>84</v>
      </c>
      <c r="I51" s="6">
        <v>0.01</v>
      </c>
      <c r="K51" s="6">
        <v>0.314</v>
      </c>
      <c r="M51" s="6">
        <v>0</v>
      </c>
      <c r="P51" s="6">
        <v>0</v>
      </c>
      <c r="Q51" s="27">
        <v>0</v>
      </c>
      <c r="R51" s="6">
        <v>0</v>
      </c>
      <c r="S51" s="6">
        <v>0</v>
      </c>
      <c r="T51" s="6">
        <v>7.3940000000000001</v>
      </c>
      <c r="U51" s="6">
        <v>0.01</v>
      </c>
    </row>
    <row r="52" spans="2:23" x14ac:dyDescent="0.2">
      <c r="B52" s="1" t="s">
        <v>85</v>
      </c>
      <c r="C52" s="1">
        <f t="shared" ref="C52:J52" si="29">C47+SUM(C48:C51)</f>
        <v>0</v>
      </c>
      <c r="D52" s="34">
        <f t="shared" si="29"/>
        <v>0</v>
      </c>
      <c r="E52" s="1">
        <f t="shared" si="29"/>
        <v>0</v>
      </c>
      <c r="F52" s="34">
        <f t="shared" si="29"/>
        <v>0</v>
      </c>
      <c r="G52" s="1">
        <f t="shared" si="29"/>
        <v>0</v>
      </c>
      <c r="H52" s="34">
        <f t="shared" si="29"/>
        <v>0</v>
      </c>
      <c r="I52" s="6">
        <f t="shared" si="29"/>
        <v>250.58499999999998</v>
      </c>
      <c r="J52" s="34">
        <f t="shared" si="29"/>
        <v>0</v>
      </c>
      <c r="K52" s="6">
        <f>K47+SUM(K48:K51)</f>
        <v>273.40199999999999</v>
      </c>
      <c r="M52" s="6">
        <f>M47+SUM(M48:M51)</f>
        <v>285.435</v>
      </c>
      <c r="P52" s="6">
        <f t="shared" ref="P52:V52" si="30">P47+SUM(P48:P51)</f>
        <v>75.332000000000008</v>
      </c>
      <c r="Q52" s="27">
        <f t="shared" si="30"/>
        <v>72</v>
      </c>
      <c r="R52" s="6">
        <f t="shared" si="30"/>
        <v>81.840999999999994</v>
      </c>
      <c r="S52" s="6">
        <f t="shared" si="30"/>
        <v>85.974999999999994</v>
      </c>
      <c r="T52" s="6">
        <f t="shared" si="30"/>
        <v>244.53100000000001</v>
      </c>
      <c r="U52" s="6">
        <f t="shared" si="30"/>
        <v>259.34000000000003</v>
      </c>
      <c r="V52" s="6">
        <f t="shared" si="30"/>
        <v>0</v>
      </c>
    </row>
    <row r="53" spans="2:23" x14ac:dyDescent="0.2">
      <c r="I53" s="6"/>
      <c r="K53" s="6"/>
      <c r="R53" s="6"/>
      <c r="T53" s="6"/>
      <c r="U53" s="6"/>
    </row>
    <row r="54" spans="2:23" s="3" customFormat="1" x14ac:dyDescent="0.2">
      <c r="B54" s="3" t="s">
        <v>109</v>
      </c>
      <c r="D54" s="33"/>
      <c r="F54" s="33"/>
      <c r="H54" s="33"/>
      <c r="I54" s="29">
        <v>43.871000000000002</v>
      </c>
      <c r="J54" s="33"/>
      <c r="K54" s="29">
        <v>17.963999999999999</v>
      </c>
      <c r="L54" s="33"/>
      <c r="M54" s="29">
        <v>9.4130000000000003</v>
      </c>
      <c r="N54" s="83"/>
      <c r="P54" s="29">
        <v>4.1109999999999998</v>
      </c>
      <c r="Q54" s="29">
        <v>7.8460000000000001</v>
      </c>
      <c r="R54" s="29">
        <v>11.476000000000001</v>
      </c>
      <c r="S54" s="29">
        <v>9.2270000000000003</v>
      </c>
      <c r="T54" s="29">
        <v>34.030999999999999</v>
      </c>
      <c r="U54" s="29">
        <v>16.661000000000001</v>
      </c>
      <c r="W54" s="83"/>
    </row>
    <row r="55" spans="2:23" x14ac:dyDescent="0.2">
      <c r="B55" s="1" t="s">
        <v>86</v>
      </c>
      <c r="I55" s="6">
        <v>12.833</v>
      </c>
      <c r="K55" s="6">
        <v>10.568</v>
      </c>
      <c r="M55" s="6">
        <v>9.2409999999999997</v>
      </c>
      <c r="P55" s="6">
        <v>7.093</v>
      </c>
      <c r="Q55" s="6">
        <v>5.5019999999999998</v>
      </c>
      <c r="R55" s="6">
        <v>7.3540000000000001</v>
      </c>
      <c r="S55" s="6">
        <v>9.8190000000000008</v>
      </c>
      <c r="T55" s="6">
        <v>8.282</v>
      </c>
      <c r="U55" s="6">
        <v>13.513</v>
      </c>
    </row>
    <row r="56" spans="2:23" x14ac:dyDescent="0.2">
      <c r="B56" s="1" t="s">
        <v>134</v>
      </c>
      <c r="G56" s="1">
        <v>0</v>
      </c>
      <c r="H56" s="34">
        <v>0</v>
      </c>
      <c r="I56" s="1">
        <v>0</v>
      </c>
      <c r="J56" s="34">
        <v>0</v>
      </c>
      <c r="K56" s="1">
        <v>0</v>
      </c>
      <c r="M56" s="6">
        <v>1.04</v>
      </c>
      <c r="P56" s="6">
        <v>0.66900000000000004</v>
      </c>
      <c r="Q56" s="6">
        <v>0.82499999999999996</v>
      </c>
      <c r="R56" s="6">
        <v>0.71899999999999997</v>
      </c>
      <c r="S56" s="6">
        <v>0.90700000000000003</v>
      </c>
      <c r="T56" s="6"/>
      <c r="U56" s="6"/>
    </row>
    <row r="57" spans="2:23" x14ac:dyDescent="0.2">
      <c r="B57" s="1" t="s">
        <v>135</v>
      </c>
      <c r="G57" s="1">
        <v>0</v>
      </c>
      <c r="H57" s="34">
        <v>0</v>
      </c>
      <c r="I57" s="1">
        <v>0</v>
      </c>
      <c r="J57" s="34">
        <v>0</v>
      </c>
      <c r="K57" s="1">
        <v>0</v>
      </c>
      <c r="M57" s="6">
        <v>0</v>
      </c>
      <c r="P57" s="6">
        <v>0.29299999999999998</v>
      </c>
      <c r="Q57" s="6">
        <v>7.0000000000000007E-2</v>
      </c>
      <c r="R57" s="6">
        <v>6.3E-2</v>
      </c>
      <c r="S57" s="6">
        <v>9.0999999999999998E-2</v>
      </c>
      <c r="T57" s="6"/>
      <c r="U57" s="6"/>
    </row>
    <row r="58" spans="2:23" x14ac:dyDescent="0.2">
      <c r="B58" s="1" t="s">
        <v>87</v>
      </c>
      <c r="C58" s="6">
        <f t="shared" ref="C58:M58" si="31">SUM(C54:C57)</f>
        <v>0</v>
      </c>
      <c r="D58" s="34">
        <f t="shared" si="31"/>
        <v>0</v>
      </c>
      <c r="E58" s="6">
        <f t="shared" si="31"/>
        <v>0</v>
      </c>
      <c r="F58" s="34">
        <f t="shared" si="31"/>
        <v>0</v>
      </c>
      <c r="G58" s="6">
        <f t="shared" si="31"/>
        <v>0</v>
      </c>
      <c r="H58" s="34">
        <f t="shared" si="31"/>
        <v>0</v>
      </c>
      <c r="I58" s="6">
        <f t="shared" si="31"/>
        <v>56.704000000000001</v>
      </c>
      <c r="J58" s="34">
        <f t="shared" si="31"/>
        <v>0</v>
      </c>
      <c r="K58" s="6">
        <f t="shared" si="31"/>
        <v>28.531999999999996</v>
      </c>
      <c r="M58" s="6">
        <f t="shared" si="31"/>
        <v>19.693999999999999</v>
      </c>
      <c r="P58" s="6">
        <f t="shared" ref="P58" si="32">SUM(P54:P57)</f>
        <v>12.166</v>
      </c>
      <c r="Q58" s="6">
        <f>SUM(Q54:Q57)</f>
        <v>14.242999999999999</v>
      </c>
      <c r="R58" s="6">
        <f t="shared" ref="R58:V58" si="33">SUM(R54:R57)</f>
        <v>19.612000000000002</v>
      </c>
      <c r="S58" s="6">
        <f t="shared" si="33"/>
        <v>20.044</v>
      </c>
      <c r="T58" s="6">
        <f t="shared" si="33"/>
        <v>42.313000000000002</v>
      </c>
      <c r="U58" s="6">
        <f t="shared" si="33"/>
        <v>30.173999999999999</v>
      </c>
      <c r="V58" s="6">
        <f t="shared" si="33"/>
        <v>0</v>
      </c>
    </row>
    <row r="59" spans="2:23" s="3" customFormat="1" x14ac:dyDescent="0.2">
      <c r="B59" s="3" t="s">
        <v>109</v>
      </c>
      <c r="D59" s="33"/>
      <c r="F59" s="33"/>
      <c r="H59" s="33"/>
      <c r="I59" s="29">
        <v>171.18199999999999</v>
      </c>
      <c r="J59" s="33"/>
      <c r="K59" s="29">
        <v>189.98699999999999</v>
      </c>
      <c r="L59" s="33"/>
      <c r="M59" s="29">
        <v>197.50700000000001</v>
      </c>
      <c r="N59" s="83"/>
      <c r="P59" s="29">
        <v>13.157999999999999</v>
      </c>
      <c r="Q59" s="29">
        <v>2.2440000000000002</v>
      </c>
      <c r="R59" s="29">
        <v>4.4029999999999996</v>
      </c>
      <c r="S59" s="29">
        <v>4.9909999999999997</v>
      </c>
      <c r="T59" s="29">
        <v>171.024</v>
      </c>
      <c r="U59" s="29">
        <v>192.833</v>
      </c>
      <c r="W59" s="83"/>
    </row>
    <row r="60" spans="2:23" x14ac:dyDescent="0.2">
      <c r="B60" s="1" t="s">
        <v>80</v>
      </c>
      <c r="I60" s="6">
        <v>1.5820000000000001</v>
      </c>
      <c r="K60" s="6">
        <v>2.274</v>
      </c>
      <c r="M60" s="6">
        <v>1.2470000000000001</v>
      </c>
      <c r="P60" s="6">
        <v>1.5109999999999999</v>
      </c>
      <c r="Q60" s="6">
        <v>1.726</v>
      </c>
      <c r="R60" s="6">
        <v>2.0870000000000002</v>
      </c>
      <c r="S60" s="6">
        <v>2.0569999999999999</v>
      </c>
      <c r="T60" s="6">
        <v>1.5820000000000001</v>
      </c>
      <c r="U60" s="6">
        <v>2.27</v>
      </c>
    </row>
    <row r="61" spans="2:23" x14ac:dyDescent="0.2">
      <c r="B61" s="1" t="s">
        <v>137</v>
      </c>
      <c r="I61" s="1">
        <v>0</v>
      </c>
      <c r="J61" s="34">
        <v>0</v>
      </c>
      <c r="K61" s="1">
        <v>0</v>
      </c>
      <c r="M61" s="6">
        <v>0</v>
      </c>
      <c r="P61" s="6">
        <v>42.435000000000002</v>
      </c>
      <c r="Q61" s="6">
        <v>0</v>
      </c>
      <c r="R61" s="6">
        <v>0</v>
      </c>
      <c r="S61" s="6">
        <v>0</v>
      </c>
      <c r="T61" s="1">
        <v>0</v>
      </c>
      <c r="U61" s="1">
        <v>0</v>
      </c>
    </row>
    <row r="62" spans="2:23" x14ac:dyDescent="0.2">
      <c r="B62" s="1" t="s">
        <v>136</v>
      </c>
      <c r="I62" s="1">
        <v>0</v>
      </c>
      <c r="J62" s="34">
        <v>0</v>
      </c>
      <c r="K62" s="1">
        <v>0</v>
      </c>
      <c r="M62" s="6">
        <v>0</v>
      </c>
      <c r="P62" s="6">
        <f>0.442+1.577</f>
        <v>2.0190000000000001</v>
      </c>
      <c r="Q62" s="6">
        <f>0.361+0.233</f>
        <v>0.59399999999999997</v>
      </c>
      <c r="R62" s="6">
        <f>0.481+0.35</f>
        <v>0.83099999999999996</v>
      </c>
      <c r="S62" s="6">
        <f>1.284+0.688</f>
        <v>1.972</v>
      </c>
      <c r="T62" s="1">
        <v>0</v>
      </c>
      <c r="U62" s="1">
        <v>0</v>
      </c>
    </row>
    <row r="63" spans="2:23" x14ac:dyDescent="0.2">
      <c r="B63" s="1" t="s">
        <v>88</v>
      </c>
      <c r="C63" s="6">
        <f t="shared" ref="C63:I63" si="34">SUM(C58:C62)</f>
        <v>0</v>
      </c>
      <c r="D63" s="34">
        <f t="shared" si="34"/>
        <v>0</v>
      </c>
      <c r="E63" s="6">
        <f t="shared" si="34"/>
        <v>0</v>
      </c>
      <c r="F63" s="34">
        <f t="shared" si="34"/>
        <v>0</v>
      </c>
      <c r="G63" s="6">
        <f t="shared" si="34"/>
        <v>0</v>
      </c>
      <c r="H63" s="34">
        <f t="shared" si="34"/>
        <v>0</v>
      </c>
      <c r="I63" s="6">
        <f t="shared" si="34"/>
        <v>229.46799999999999</v>
      </c>
      <c r="J63" s="34" t="s">
        <v>138</v>
      </c>
      <c r="K63" s="6">
        <f>SUM(K58:K62)</f>
        <v>220.79300000000001</v>
      </c>
      <c r="M63" s="6">
        <f>SUM(M58:M62)</f>
        <v>218.44800000000001</v>
      </c>
      <c r="P63" s="6">
        <f t="shared" ref="P63:V63" si="35">SUM(P58:P62)</f>
        <v>71.289000000000001</v>
      </c>
      <c r="Q63" s="6">
        <f t="shared" si="35"/>
        <v>18.806999999999999</v>
      </c>
      <c r="R63" s="6">
        <f t="shared" si="35"/>
        <v>26.933</v>
      </c>
      <c r="S63" s="6">
        <f t="shared" si="35"/>
        <v>29.064</v>
      </c>
      <c r="T63" s="6">
        <f t="shared" si="35"/>
        <v>214.91899999999998</v>
      </c>
      <c r="U63" s="6">
        <f t="shared" si="35"/>
        <v>225.27700000000002</v>
      </c>
      <c r="V63" s="6">
        <f t="shared" si="35"/>
        <v>0</v>
      </c>
    </row>
    <row r="64" spans="2:23" x14ac:dyDescent="0.2">
      <c r="I64" s="6"/>
      <c r="K64" s="6"/>
      <c r="P64" s="6"/>
      <c r="R64" s="6"/>
      <c r="U64" s="6"/>
    </row>
    <row r="65" spans="1:23" x14ac:dyDescent="0.2">
      <c r="B65" s="1" t="s">
        <v>89</v>
      </c>
      <c r="I65" s="6">
        <v>21.117000000000001</v>
      </c>
      <c r="K65" s="6">
        <v>52.609000000000002</v>
      </c>
      <c r="M65" s="1">
        <v>66.986999999999995</v>
      </c>
      <c r="P65" s="6">
        <v>4.0430000000000001</v>
      </c>
      <c r="Q65" s="6">
        <v>53.192999999999998</v>
      </c>
      <c r="R65" s="6">
        <v>54.908000000000001</v>
      </c>
      <c r="S65" s="6">
        <v>29.809000000000001</v>
      </c>
      <c r="T65" s="6">
        <v>29.809000000000001</v>
      </c>
      <c r="U65" s="6">
        <v>34.063000000000002</v>
      </c>
    </row>
    <row r="66" spans="1:23" x14ac:dyDescent="0.2">
      <c r="B66" s="1" t="s">
        <v>90</v>
      </c>
      <c r="I66" s="6">
        <f>I65+I63</f>
        <v>250.58499999999998</v>
      </c>
      <c r="K66" s="6">
        <f>K65+K63</f>
        <v>273.40199999999999</v>
      </c>
      <c r="M66" s="6">
        <f>M65+M63</f>
        <v>285.435</v>
      </c>
      <c r="P66" s="6">
        <f>P65+P63</f>
        <v>75.332000000000008</v>
      </c>
      <c r="Q66" s="6">
        <f>Q65+Q63</f>
        <v>72</v>
      </c>
      <c r="R66" s="6">
        <f t="shared" ref="R66" si="36">R65+R63</f>
        <v>81.841000000000008</v>
      </c>
      <c r="S66" s="6">
        <f t="shared" ref="S66" si="37">S65+S63</f>
        <v>58.873000000000005</v>
      </c>
      <c r="T66" s="6">
        <f>T65+T63</f>
        <v>244.72799999999998</v>
      </c>
      <c r="U66" s="6">
        <f>U65+U63</f>
        <v>259.34000000000003</v>
      </c>
    </row>
    <row r="68" spans="1:23" x14ac:dyDescent="0.2">
      <c r="B68" s="1" t="s">
        <v>91</v>
      </c>
      <c r="I68" s="6">
        <f>I52-I63</f>
        <v>21.11699999999999</v>
      </c>
      <c r="K68" s="6">
        <f>K52-K63</f>
        <v>52.60899999999998</v>
      </c>
      <c r="M68" s="6">
        <f>M52-M63</f>
        <v>66.986999999999995</v>
      </c>
      <c r="P68" s="6">
        <f t="shared" ref="P68:R68" si="38">P52-P63</f>
        <v>4.0430000000000064</v>
      </c>
      <c r="Q68" s="6">
        <f t="shared" si="38"/>
        <v>53.192999999999998</v>
      </c>
      <c r="R68" s="6">
        <f t="shared" si="38"/>
        <v>54.907999999999994</v>
      </c>
      <c r="S68" s="6">
        <f t="shared" ref="S68:T68" si="39">S52-S63</f>
        <v>56.910999999999994</v>
      </c>
      <c r="T68" s="6">
        <f t="shared" si="39"/>
        <v>29.612000000000023</v>
      </c>
      <c r="U68" s="6">
        <f>U52-U63</f>
        <v>34.063000000000017</v>
      </c>
    </row>
    <row r="69" spans="1:23" x14ac:dyDescent="0.2">
      <c r="B69" s="1" t="s">
        <v>92</v>
      </c>
      <c r="I69" s="1">
        <f>I68/I21</f>
        <v>0.30895933798398789</v>
      </c>
      <c r="K69" s="1">
        <f>K68/K21</f>
        <v>0.7693455551191799</v>
      </c>
      <c r="M69" s="1">
        <f>M68/M21</f>
        <v>0.97796783169522106</v>
      </c>
      <c r="P69" s="1">
        <f t="shared" ref="P69" si="40">P68/P21</f>
        <v>6.2200000000000095E-2</v>
      </c>
      <c r="Q69" s="1">
        <f t="shared" ref="Q69:T69" si="41">Q68/Q21</f>
        <v>0.8183538461538461</v>
      </c>
      <c r="R69" s="1">
        <f t="shared" si="41"/>
        <v>0.84473846153846144</v>
      </c>
      <c r="S69" s="1">
        <f t="shared" ref="S69" si="42">S68/S21</f>
        <v>0.87555384615384602</v>
      </c>
      <c r="T69" s="1">
        <f t="shared" si="41"/>
        <v>0.4382085280067668</v>
      </c>
      <c r="U69" s="1">
        <f>U68/U21</f>
        <v>0.49830114900085032</v>
      </c>
    </row>
    <row r="71" spans="1:23" s="39" customFormat="1" x14ac:dyDescent="0.2">
      <c r="B71" s="39" t="s">
        <v>6</v>
      </c>
      <c r="D71" s="40"/>
      <c r="F71" s="40"/>
      <c r="H71" s="40"/>
      <c r="I71" s="41">
        <f>I50</f>
        <v>17.103000000000002</v>
      </c>
      <c r="J71" s="40"/>
      <c r="K71" s="41">
        <f>K50</f>
        <v>7.734</v>
      </c>
      <c r="L71" s="40"/>
      <c r="M71" s="41">
        <f>M50</f>
        <v>5.1369999999999996</v>
      </c>
      <c r="N71" s="90"/>
      <c r="P71" s="41">
        <f t="shared" ref="P71:Q71" si="43">P50</f>
        <v>10.185</v>
      </c>
      <c r="Q71" s="41">
        <f t="shared" si="43"/>
        <v>5.5709999999999997</v>
      </c>
      <c r="R71" s="41">
        <f t="shared" ref="R71:T71" si="44">R50</f>
        <v>5.298</v>
      </c>
      <c r="S71" s="41">
        <f t="shared" si="44"/>
        <v>2.1880000000000002</v>
      </c>
      <c r="T71" s="41">
        <f t="shared" si="44"/>
        <v>2.302</v>
      </c>
      <c r="U71" s="41">
        <f>U50</f>
        <v>11.510999999999999</v>
      </c>
      <c r="W71" s="90"/>
    </row>
    <row r="72" spans="1:23" s="39" customFormat="1" x14ac:dyDescent="0.2">
      <c r="B72" s="39" t="s">
        <v>7</v>
      </c>
      <c r="D72" s="40"/>
      <c r="F72" s="40"/>
      <c r="H72" s="40"/>
      <c r="I72" s="41">
        <f>+I54+I59</f>
        <v>215.053</v>
      </c>
      <c r="J72" s="40"/>
      <c r="K72" s="41">
        <f>+K54+K59</f>
        <v>207.95099999999999</v>
      </c>
      <c r="L72" s="40"/>
      <c r="M72" s="41">
        <f>+M54+M59</f>
        <v>206.92000000000002</v>
      </c>
      <c r="N72" s="90"/>
      <c r="P72" s="41">
        <f t="shared" ref="P72:Q72" si="45">+P54+P59</f>
        <v>17.268999999999998</v>
      </c>
      <c r="Q72" s="41">
        <f t="shared" si="45"/>
        <v>10.09</v>
      </c>
      <c r="R72" s="41">
        <f t="shared" ref="R72:T72" si="46">+R54+R59</f>
        <v>15.879000000000001</v>
      </c>
      <c r="S72" s="41">
        <f t="shared" si="46"/>
        <v>14.218</v>
      </c>
      <c r="T72" s="41">
        <f t="shared" si="46"/>
        <v>205.05500000000001</v>
      </c>
      <c r="U72" s="41">
        <f>+U54+U59</f>
        <v>209.494</v>
      </c>
      <c r="W72" s="90"/>
    </row>
    <row r="73" spans="1:23" x14ac:dyDescent="0.2">
      <c r="B73" s="1" t="s">
        <v>8</v>
      </c>
      <c r="I73" s="6">
        <f>I71-I72</f>
        <v>-197.95</v>
      </c>
      <c r="K73" s="6">
        <f>K71-K72</f>
        <v>-200.21699999999998</v>
      </c>
      <c r="M73" s="6">
        <f>M71-M72</f>
        <v>-201.78300000000002</v>
      </c>
      <c r="P73" s="6">
        <f t="shared" ref="P73:Q73" si="47">P71-P72</f>
        <v>-7.0839999999999979</v>
      </c>
      <c r="Q73" s="6">
        <f t="shared" si="47"/>
        <v>-4.5190000000000001</v>
      </c>
      <c r="R73" s="6">
        <f t="shared" ref="R73:T73" si="48">R71-R72</f>
        <v>-10.581000000000001</v>
      </c>
      <c r="S73" s="6">
        <f t="shared" si="48"/>
        <v>-12.03</v>
      </c>
      <c r="T73" s="6">
        <f t="shared" si="48"/>
        <v>-202.75300000000001</v>
      </c>
      <c r="U73" s="6">
        <f>U71-U72</f>
        <v>-197.983</v>
      </c>
    </row>
    <row r="75" spans="1:23" s="26" customFormat="1" x14ac:dyDescent="0.2">
      <c r="B75" s="26" t="s">
        <v>93</v>
      </c>
      <c r="D75" s="35">
        <f>R75</f>
        <v>2.1429</v>
      </c>
      <c r="F75" s="35">
        <f>S75</f>
        <v>2.968</v>
      </c>
      <c r="H75" s="35">
        <f>T75</f>
        <v>2.0017</v>
      </c>
      <c r="I75" s="26">
        <v>2.3468</v>
      </c>
      <c r="J75" s="35">
        <f>U75</f>
        <v>2.3468</v>
      </c>
      <c r="K75" s="26">
        <v>2.0657999999999999</v>
      </c>
      <c r="L75" s="35"/>
      <c r="M75" s="26">
        <v>2.8</v>
      </c>
      <c r="N75" s="85"/>
      <c r="P75" s="26">
        <v>1.65</v>
      </c>
      <c r="Q75" s="26">
        <v>2.4710000000000001</v>
      </c>
      <c r="R75" s="26">
        <v>2.1429</v>
      </c>
      <c r="S75" s="26">
        <v>2.968</v>
      </c>
      <c r="T75" s="26">
        <v>2.0017</v>
      </c>
      <c r="U75" s="26">
        <v>2.3468</v>
      </c>
      <c r="W75" s="85"/>
    </row>
    <row r="76" spans="1:23" s="6" customFormat="1" x14ac:dyDescent="0.2">
      <c r="B76" s="6" t="s">
        <v>5</v>
      </c>
      <c r="D76" s="44"/>
      <c r="F76" s="44"/>
      <c r="H76" s="44"/>
      <c r="I76" s="6">
        <f>I75*I21</f>
        <v>160.40096384</v>
      </c>
      <c r="J76" s="44"/>
      <c r="K76" s="6">
        <f>K75*K21</f>
        <v>141.26249443679998</v>
      </c>
      <c r="L76" s="44"/>
      <c r="M76" s="6">
        <f>M75*M21</f>
        <v>191.78913039999998</v>
      </c>
      <c r="N76" s="91"/>
      <c r="P76" s="6">
        <f t="shared" ref="P76:Q76" si="49">P75*P21</f>
        <v>107.25</v>
      </c>
      <c r="Q76" s="6">
        <f t="shared" si="49"/>
        <v>160.61500000000001</v>
      </c>
      <c r="R76" s="6">
        <f t="shared" ref="R76:T76" si="50">R75*R21</f>
        <v>139.2885</v>
      </c>
      <c r="S76" s="6">
        <f t="shared" si="50"/>
        <v>192.92</v>
      </c>
      <c r="T76" s="6">
        <f t="shared" si="50"/>
        <v>135.26514572780002</v>
      </c>
      <c r="U76" s="6">
        <f>U75*U21</f>
        <v>160.42316691479999</v>
      </c>
      <c r="W76" s="91"/>
    </row>
    <row r="77" spans="1:23" s="6" customFormat="1" x14ac:dyDescent="0.2">
      <c r="B77" s="6" t="s">
        <v>9</v>
      </c>
      <c r="D77" s="44"/>
      <c r="F77" s="44"/>
      <c r="H77" s="44"/>
      <c r="I77" s="6">
        <f>I76-I73</f>
        <v>358.35096383999996</v>
      </c>
      <c r="J77" s="44"/>
      <c r="K77" s="6">
        <f>K76-K73</f>
        <v>341.4794944368</v>
      </c>
      <c r="L77" s="44"/>
      <c r="M77" s="6">
        <f>M76-M73</f>
        <v>393.57213039999999</v>
      </c>
      <c r="N77" s="91"/>
      <c r="P77" s="6">
        <f t="shared" ref="P77:Q77" si="51">P76-P73</f>
        <v>114.334</v>
      </c>
      <c r="Q77" s="6">
        <f t="shared" si="51"/>
        <v>165.13400000000001</v>
      </c>
      <c r="R77" s="6">
        <f t="shared" ref="R77:T77" si="52">R76-R73</f>
        <v>149.86949999999999</v>
      </c>
      <c r="S77" s="6">
        <f t="shared" si="52"/>
        <v>204.95</v>
      </c>
      <c r="T77" s="6">
        <f t="shared" si="52"/>
        <v>338.01814572780006</v>
      </c>
      <c r="U77" s="6">
        <f>U76-U73</f>
        <v>358.4061669148</v>
      </c>
      <c r="W77" s="91"/>
    </row>
    <row r="79" spans="1:23" s="57" customFormat="1" x14ac:dyDescent="0.2">
      <c r="A79" s="60">
        <f>AVERAGE(Q79:U79)</f>
        <v>3.6447220949978716</v>
      </c>
      <c r="B79" s="57" t="s">
        <v>28</v>
      </c>
      <c r="D79" s="58"/>
      <c r="F79" s="58"/>
      <c r="H79" s="58"/>
      <c r="I79" s="57">
        <f>I75/I69</f>
        <v>7.5958215579864596</v>
      </c>
      <c r="J79" s="58"/>
      <c r="K79" s="57">
        <f>K75/K69</f>
        <v>2.6851393190670807</v>
      </c>
      <c r="L79" s="58"/>
      <c r="M79" s="57">
        <f>M75/M69</f>
        <v>2.8630798572857419</v>
      </c>
      <c r="N79" s="92"/>
      <c r="P79" s="57">
        <f t="shared" ref="P79:Q79" si="53">P75/P69</f>
        <v>26.527331189710569</v>
      </c>
      <c r="Q79" s="57">
        <f t="shared" si="53"/>
        <v>3.0194762468745893</v>
      </c>
      <c r="R79" s="57">
        <f t="shared" ref="R79:T79" si="54">R75/R69</f>
        <v>2.5367614919501715</v>
      </c>
      <c r="S79" s="57">
        <f t="shared" si="54"/>
        <v>3.3898543339600433</v>
      </c>
      <c r="T79" s="57">
        <f t="shared" si="54"/>
        <v>4.5679165786775604</v>
      </c>
      <c r="U79" s="57">
        <f>U75/U69</f>
        <v>4.7096018235269916</v>
      </c>
      <c r="W79" s="92"/>
    </row>
    <row r="80" spans="1:23" x14ac:dyDescent="0.2">
      <c r="A80" s="60">
        <f t="shared" ref="A80:A83" si="55">AVERAGE(Q80:U80)</f>
        <v>2.496796985722928</v>
      </c>
      <c r="B80" s="1" t="s">
        <v>29</v>
      </c>
      <c r="K80" s="57">
        <f>K76/SUM(J8:K8)</f>
        <v>1.175727591880082</v>
      </c>
      <c r="P80" s="57">
        <f t="shared" ref="P80:Q80" si="56">P76/P8</f>
        <v>1.5931609203939452</v>
      </c>
      <c r="Q80" s="57">
        <f t="shared" si="56"/>
        <v>2.2609093468468466</v>
      </c>
      <c r="R80" s="57">
        <f t="shared" ref="R80:T80" si="57">R76/R8</f>
        <v>1.8243418467583494</v>
      </c>
      <c r="S80" s="57">
        <f t="shared" si="57"/>
        <v>2.293335869332636</v>
      </c>
      <c r="T80" s="57">
        <f t="shared" si="57"/>
        <v>3.7294975248228521</v>
      </c>
      <c r="U80" s="57">
        <f>U76/U8</f>
        <v>2.3759003408539563</v>
      </c>
    </row>
    <row r="81" spans="1:23" x14ac:dyDescent="0.2">
      <c r="A81" s="60">
        <f t="shared" si="55"/>
        <v>4.2703228836366645</v>
      </c>
      <c r="B81" s="1" t="s">
        <v>30</v>
      </c>
      <c r="K81" s="57">
        <f>K77/SUM(J8:K8)</f>
        <v>2.8421334712465356</v>
      </c>
      <c r="P81" s="57">
        <f t="shared" ref="P81:Q81" si="58">P77/P8</f>
        <v>1.6983912416999658</v>
      </c>
      <c r="Q81" s="57">
        <f t="shared" si="58"/>
        <v>2.3245213963963964</v>
      </c>
      <c r="R81" s="57">
        <f t="shared" ref="R81:T81" si="59">R77/R8</f>
        <v>1.9629273084479368</v>
      </c>
      <c r="S81" s="57">
        <f t="shared" si="59"/>
        <v>2.4363424550058248</v>
      </c>
      <c r="T81" s="57">
        <f t="shared" si="59"/>
        <v>9.3197536664313905</v>
      </c>
      <c r="U81" s="57">
        <f>U77/U8</f>
        <v>5.3080695919017788</v>
      </c>
    </row>
    <row r="82" spans="1:23" x14ac:dyDescent="0.2">
      <c r="A82" s="60">
        <f t="shared" si="55"/>
        <v>20.377966557521056</v>
      </c>
      <c r="B82" s="1" t="s">
        <v>31</v>
      </c>
      <c r="K82" s="57">
        <f>K75/SUM(J20:K20)</f>
        <v>4.5418588938941094</v>
      </c>
      <c r="P82" s="57">
        <f t="shared" ref="P82:Q82" si="60">P75/P20</f>
        <v>29.537317543376421</v>
      </c>
      <c r="Q82" s="57">
        <f t="shared" si="60"/>
        <v>31.000772051727438</v>
      </c>
      <c r="R82" s="57">
        <f t="shared" ref="R82:T82" si="61">R75/R20</f>
        <v>17.107406042741321</v>
      </c>
      <c r="S82" s="57">
        <f t="shared" si="61"/>
        <v>21.347792408985285</v>
      </c>
      <c r="T82" s="57">
        <f t="shared" si="61"/>
        <v>-7.6218597919535709</v>
      </c>
      <c r="U82" s="57">
        <f>U75/U20</f>
        <v>40.0557220761048</v>
      </c>
    </row>
    <row r="83" spans="1:23" x14ac:dyDescent="0.2">
      <c r="A83" s="60">
        <f t="shared" si="55"/>
        <v>28.680426491732657</v>
      </c>
      <c r="B83" s="1" t="s">
        <v>32</v>
      </c>
      <c r="K83" s="57">
        <f>K77/SUM(J19:K19)</f>
        <v>10.980754210457265</v>
      </c>
      <c r="P83" s="57">
        <f t="shared" ref="P83:Q83" si="62">P77/P19</f>
        <v>31.488295235472258</v>
      </c>
      <c r="Q83" s="57">
        <f t="shared" si="62"/>
        <v>31.87299749083186</v>
      </c>
      <c r="R83" s="57">
        <f t="shared" ref="R83:T83" si="63">R77/R19</f>
        <v>18.406963890935863</v>
      </c>
      <c r="S83" s="57">
        <f t="shared" si="63"/>
        <v>22.678986389288482</v>
      </c>
      <c r="T83" s="57">
        <f t="shared" si="63"/>
        <v>-19.046494941556322</v>
      </c>
      <c r="U83" s="57">
        <f>U77/U19</f>
        <v>89.48967962916339</v>
      </c>
    </row>
    <row r="86" spans="1:23" x14ac:dyDescent="0.2">
      <c r="B86" s="24" t="s">
        <v>94</v>
      </c>
    </row>
    <row r="87" spans="1:23" x14ac:dyDescent="0.2">
      <c r="B87" s="1" t="s">
        <v>95</v>
      </c>
      <c r="I87" s="6">
        <v>5.2080000000000002</v>
      </c>
      <c r="J87" s="44">
        <f>U87-I87</f>
        <v>25.619</v>
      </c>
      <c r="K87" s="6">
        <v>31.850999999999999</v>
      </c>
      <c r="P87" s="1">
        <v>14.754</v>
      </c>
      <c r="Q87" s="27">
        <v>13.302</v>
      </c>
      <c r="R87" s="6">
        <v>20.846</v>
      </c>
      <c r="S87" s="6">
        <v>23.917000000000002</v>
      </c>
      <c r="T87" s="6">
        <v>4.4800000000000004</v>
      </c>
      <c r="U87" s="6">
        <v>30.827000000000002</v>
      </c>
    </row>
    <row r="88" spans="1:23" x14ac:dyDescent="0.2">
      <c r="B88" s="1" t="s">
        <v>96</v>
      </c>
      <c r="I88" s="6">
        <v>2.2919999999999998</v>
      </c>
      <c r="J88" s="44">
        <f t="shared" ref="J88:J89" si="64">U88-I88</f>
        <v>0</v>
      </c>
      <c r="K88" s="6">
        <v>-2.8780000000000001</v>
      </c>
      <c r="P88" s="1">
        <v>0</v>
      </c>
      <c r="Q88" s="27">
        <v>-1.861</v>
      </c>
      <c r="R88" s="6">
        <v>-2.472</v>
      </c>
      <c r="S88" s="6">
        <v>-2.6160000000000001</v>
      </c>
      <c r="T88" s="6">
        <v>-0.71499999999999997</v>
      </c>
      <c r="U88" s="6">
        <v>2.2919999999999998</v>
      </c>
    </row>
    <row r="89" spans="1:23" x14ac:dyDescent="0.2">
      <c r="B89" s="1" t="s">
        <v>97</v>
      </c>
      <c r="I89" s="6">
        <v>-2.6509999999999998</v>
      </c>
      <c r="J89" s="44">
        <f t="shared" si="64"/>
        <v>-3.0350000000000001</v>
      </c>
      <c r="K89" s="6">
        <v>-3.4740000000000002</v>
      </c>
      <c r="P89" s="1">
        <v>-0.97699999999999998</v>
      </c>
      <c r="Q89" s="27">
        <v>-0.621</v>
      </c>
      <c r="R89" s="6">
        <v>-0.61899999999999999</v>
      </c>
      <c r="S89" s="6">
        <v>-0.68100000000000005</v>
      </c>
      <c r="T89" s="6">
        <v>-5.766</v>
      </c>
      <c r="U89" s="6">
        <v>-5.6859999999999999</v>
      </c>
    </row>
    <row r="90" spans="1:23" s="3" customFormat="1" x14ac:dyDescent="0.2">
      <c r="B90" s="3" t="s">
        <v>98</v>
      </c>
      <c r="D90" s="33"/>
      <c r="F90" s="33"/>
      <c r="H90" s="33"/>
      <c r="I90" s="29">
        <f>SUM(I87:I89)</f>
        <v>4.8490000000000002</v>
      </c>
      <c r="J90" s="45">
        <f>SUM(J87:J89)</f>
        <v>22.584</v>
      </c>
      <c r="K90" s="29">
        <f>SUM(K87:K89)</f>
        <v>25.498999999999999</v>
      </c>
      <c r="L90" s="33"/>
      <c r="N90" s="83"/>
      <c r="P90" s="59">
        <f t="shared" ref="P90:T90" si="65">SUM(P87:P89)</f>
        <v>13.776999999999999</v>
      </c>
      <c r="Q90" s="59">
        <f t="shared" si="65"/>
        <v>10.819999999999999</v>
      </c>
      <c r="R90" s="29">
        <f t="shared" si="65"/>
        <v>17.754999999999999</v>
      </c>
      <c r="S90" s="29">
        <f t="shared" si="65"/>
        <v>20.62</v>
      </c>
      <c r="T90" s="29">
        <f t="shared" si="65"/>
        <v>-2.0009999999999994</v>
      </c>
      <c r="U90" s="29">
        <f>SUM(U87:U89)</f>
        <v>27.433</v>
      </c>
      <c r="W90" s="83"/>
    </row>
    <row r="91" spans="1:23" x14ac:dyDescent="0.2">
      <c r="I91" s="6"/>
      <c r="J91" s="44"/>
      <c r="K91" s="6"/>
      <c r="R91" s="6"/>
      <c r="S91" s="6"/>
      <c r="T91" s="6"/>
      <c r="U91" s="6"/>
    </row>
    <row r="92" spans="1:23" x14ac:dyDescent="0.2">
      <c r="B92" s="1" t="s">
        <v>130</v>
      </c>
      <c r="I92" s="6">
        <v>0</v>
      </c>
      <c r="J92" s="44">
        <v>0</v>
      </c>
      <c r="K92" s="6">
        <v>0</v>
      </c>
      <c r="P92" s="1">
        <v>0</v>
      </c>
      <c r="Q92" s="6">
        <v>0</v>
      </c>
      <c r="R92" s="6">
        <v>0</v>
      </c>
      <c r="S92" s="6">
        <v>-0.3</v>
      </c>
      <c r="T92" s="6">
        <v>0</v>
      </c>
      <c r="U92" s="6">
        <v>0</v>
      </c>
    </row>
    <row r="93" spans="1:23" x14ac:dyDescent="0.2">
      <c r="B93" s="1" t="s">
        <v>99</v>
      </c>
      <c r="I93" s="6">
        <v>0</v>
      </c>
      <c r="J93" s="44">
        <f t="shared" ref="J93:J95" si="66">U93-I93</f>
        <v>0</v>
      </c>
      <c r="K93" s="6">
        <v>-0.45400000000000001</v>
      </c>
      <c r="P93" s="1">
        <v>-2.3220000000000001</v>
      </c>
      <c r="Q93" s="6">
        <v>-2.5939999999999999</v>
      </c>
      <c r="R93" s="6">
        <v>-3.9079999999999999</v>
      </c>
      <c r="S93" s="6">
        <v>-1.4</v>
      </c>
      <c r="T93" s="6">
        <v>0</v>
      </c>
      <c r="U93" s="6">
        <v>0</v>
      </c>
    </row>
    <row r="94" spans="1:23" x14ac:dyDescent="0.2">
      <c r="B94" s="1" t="s">
        <v>100</v>
      </c>
      <c r="I94" s="6">
        <v>-0.20499999999999999</v>
      </c>
      <c r="J94" s="44">
        <f t="shared" si="66"/>
        <v>-6.9029999999999996</v>
      </c>
      <c r="K94" s="6">
        <v>-16.632000000000001</v>
      </c>
      <c r="P94" s="1">
        <v>-2.4550000000000001</v>
      </c>
      <c r="Q94" s="6">
        <v>-3.4630000000000001</v>
      </c>
      <c r="R94" s="6">
        <v>-8.7080000000000002</v>
      </c>
      <c r="S94" s="6">
        <v>-8.5559999999999992</v>
      </c>
      <c r="T94" s="6">
        <v>-6.0439999999999996</v>
      </c>
      <c r="U94" s="6">
        <v>-7.1079999999999997</v>
      </c>
    </row>
    <row r="95" spans="1:23" x14ac:dyDescent="0.2">
      <c r="B95" s="1" t="s">
        <v>101</v>
      </c>
      <c r="I95" s="6">
        <v>0</v>
      </c>
      <c r="J95" s="44">
        <f t="shared" si="66"/>
        <v>-2.4E-2</v>
      </c>
      <c r="K95" s="6">
        <v>-1.2999999999999999E-2</v>
      </c>
      <c r="P95" s="1">
        <v>-0.57499999999999996</v>
      </c>
      <c r="Q95" s="6">
        <v>-0.16</v>
      </c>
      <c r="R95" s="6">
        <v>-0.19</v>
      </c>
      <c r="S95" s="6">
        <v>-0.21199999999999999</v>
      </c>
      <c r="T95" s="6">
        <v>-0.11899999999999999</v>
      </c>
      <c r="U95" s="6">
        <v>-2.4E-2</v>
      </c>
    </row>
    <row r="96" spans="1:23" s="3" customFormat="1" x14ac:dyDescent="0.2">
      <c r="B96" s="3" t="s">
        <v>102</v>
      </c>
      <c r="D96" s="33"/>
      <c r="F96" s="33"/>
      <c r="H96" s="33"/>
      <c r="I96" s="29">
        <f t="shared" ref="I96" si="67">SUM(I92:I95)</f>
        <v>-0.20499999999999999</v>
      </c>
      <c r="J96" s="45">
        <f t="shared" ref="J96" si="68">SUM(J92:J95)</f>
        <v>-6.9269999999999996</v>
      </c>
      <c r="K96" s="29">
        <f t="shared" ref="K96" si="69">SUM(K92:K95)</f>
        <v>-17.099000000000004</v>
      </c>
      <c r="L96" s="33"/>
      <c r="N96" s="83"/>
      <c r="P96" s="29">
        <f t="shared" ref="P96:R96" si="70">SUM(P92:P95)</f>
        <v>-5.3520000000000003</v>
      </c>
      <c r="Q96" s="29">
        <f t="shared" si="70"/>
        <v>-6.2170000000000005</v>
      </c>
      <c r="R96" s="29">
        <f t="shared" si="70"/>
        <v>-12.805999999999999</v>
      </c>
      <c r="S96" s="29">
        <f t="shared" ref="S96" si="71">SUM(S92:S95)</f>
        <v>-10.467999999999998</v>
      </c>
      <c r="T96" s="29">
        <f t="shared" ref="T96" si="72">SUM(T92:T95)</f>
        <v>-6.1629999999999994</v>
      </c>
      <c r="U96" s="29">
        <f t="shared" ref="U96" si="73">SUM(U92:U95)</f>
        <v>-7.1319999999999997</v>
      </c>
      <c r="W96" s="83"/>
    </row>
    <row r="97" spans="2:23" x14ac:dyDescent="0.2">
      <c r="I97" s="6"/>
      <c r="J97" s="44"/>
      <c r="K97" s="6"/>
      <c r="R97" s="6"/>
      <c r="T97" s="6"/>
      <c r="U97" s="6"/>
    </row>
    <row r="98" spans="2:23" x14ac:dyDescent="0.2">
      <c r="B98" s="1" t="s">
        <v>123</v>
      </c>
      <c r="I98" s="6">
        <v>0</v>
      </c>
      <c r="J98" s="44">
        <v>0</v>
      </c>
      <c r="K98" s="6">
        <v>0</v>
      </c>
      <c r="P98" s="6">
        <v>4.0000000000000001E-3</v>
      </c>
      <c r="Q98" s="6">
        <v>1E-3</v>
      </c>
      <c r="R98" s="6">
        <v>0</v>
      </c>
      <c r="S98" s="6">
        <v>0</v>
      </c>
      <c r="T98" s="6">
        <v>5.0380000000000003</v>
      </c>
      <c r="U98" s="6">
        <v>0</v>
      </c>
    </row>
    <row r="99" spans="2:23" x14ac:dyDescent="0.2">
      <c r="B99" s="1" t="s">
        <v>124</v>
      </c>
      <c r="I99" s="6">
        <v>0</v>
      </c>
      <c r="J99" s="44">
        <v>0</v>
      </c>
      <c r="K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-0.16</v>
      </c>
      <c r="U99" s="6">
        <v>0</v>
      </c>
    </row>
    <row r="100" spans="2:23" x14ac:dyDescent="0.2">
      <c r="B100" s="1" t="s">
        <v>131</v>
      </c>
      <c r="I100" s="6">
        <v>0</v>
      </c>
      <c r="J100" s="44">
        <v>0</v>
      </c>
      <c r="K100" s="6">
        <v>0</v>
      </c>
      <c r="P100" s="6">
        <v>0</v>
      </c>
      <c r="Q100" s="6">
        <v>0</v>
      </c>
      <c r="R100" s="6">
        <v>0</v>
      </c>
      <c r="S100" s="6">
        <v>-0.153</v>
      </c>
      <c r="T100" s="6">
        <v>0</v>
      </c>
      <c r="U100" s="6">
        <v>0</v>
      </c>
    </row>
    <row r="101" spans="2:23" x14ac:dyDescent="0.2">
      <c r="B101" s="1" t="s">
        <v>103</v>
      </c>
      <c r="I101" s="6">
        <v>-2.9350000000000001</v>
      </c>
      <c r="J101" s="44">
        <f t="shared" ref="J101:J104" si="74">U101-I101</f>
        <v>-7.0670000000000002</v>
      </c>
      <c r="K101" s="6">
        <v>-5.1769999999999996</v>
      </c>
      <c r="P101" s="6">
        <v>-1.4710000000000001</v>
      </c>
      <c r="Q101" s="6">
        <v>-2.3119999999999998</v>
      </c>
      <c r="R101" s="6">
        <v>-2.222</v>
      </c>
      <c r="S101" s="6">
        <v>-2.7090000000000001</v>
      </c>
      <c r="T101" s="6">
        <v>-2.8530000000000002</v>
      </c>
      <c r="U101" s="6">
        <v>-10.002000000000001</v>
      </c>
    </row>
    <row r="102" spans="2:23" x14ac:dyDescent="0.2">
      <c r="B102" s="1" t="s">
        <v>125</v>
      </c>
      <c r="I102" s="6">
        <v>0</v>
      </c>
      <c r="J102" s="44">
        <v>0</v>
      </c>
      <c r="K102" s="6">
        <v>0</v>
      </c>
      <c r="P102" s="6">
        <v>0</v>
      </c>
      <c r="Q102" s="6">
        <v>0</v>
      </c>
      <c r="R102" s="6">
        <v>-6.5</v>
      </c>
      <c r="S102" s="6">
        <v>-7.15</v>
      </c>
      <c r="T102" s="6">
        <v>-2.4049999999999998</v>
      </c>
      <c r="U102" s="6">
        <v>0</v>
      </c>
    </row>
    <row r="103" spans="2:23" x14ac:dyDescent="0.2">
      <c r="B103" s="1" t="s">
        <v>104</v>
      </c>
      <c r="I103" s="6">
        <v>18</v>
      </c>
      <c r="J103" s="44">
        <f t="shared" si="74"/>
        <v>4</v>
      </c>
      <c r="K103" s="6">
        <v>0</v>
      </c>
      <c r="P103" s="6">
        <v>0</v>
      </c>
      <c r="Q103" s="6">
        <v>6</v>
      </c>
      <c r="R103" s="6">
        <v>8.5</v>
      </c>
      <c r="S103" s="6">
        <v>17</v>
      </c>
      <c r="T103" s="6">
        <v>18.350000000000001</v>
      </c>
      <c r="U103" s="6">
        <v>22</v>
      </c>
    </row>
    <row r="104" spans="2:23" x14ac:dyDescent="0.2">
      <c r="B104" s="1" t="s">
        <v>105</v>
      </c>
      <c r="I104" s="6">
        <v>-10</v>
      </c>
      <c r="J104" s="44">
        <f t="shared" si="74"/>
        <v>-18</v>
      </c>
      <c r="K104" s="6">
        <v>-7</v>
      </c>
      <c r="P104" s="6">
        <v>-3.5939999999999999</v>
      </c>
      <c r="Q104" s="6">
        <v>-12.906000000000001</v>
      </c>
      <c r="R104" s="6">
        <v>-5</v>
      </c>
      <c r="S104" s="6">
        <v>-20.25</v>
      </c>
      <c r="T104" s="6">
        <v>-4.5999999999999996</v>
      </c>
      <c r="U104" s="6">
        <v>-28</v>
      </c>
    </row>
    <row r="105" spans="2:23" s="3" customFormat="1" x14ac:dyDescent="0.2">
      <c r="B105" s="3" t="s">
        <v>106</v>
      </c>
      <c r="D105" s="33"/>
      <c r="F105" s="33"/>
      <c r="H105" s="33"/>
      <c r="I105" s="29">
        <f t="shared" ref="I105" si="75">SUM(I98:I104)</f>
        <v>5.0649999999999995</v>
      </c>
      <c r="J105" s="45">
        <f t="shared" ref="J105" si="76">SUM(J98:J104)</f>
        <v>-21.067</v>
      </c>
      <c r="K105" s="29">
        <f t="shared" ref="K105" si="77">SUM(K98:K104)</f>
        <v>-12.177</v>
      </c>
      <c r="L105" s="33"/>
      <c r="N105" s="83"/>
      <c r="P105" s="29">
        <f t="shared" ref="P105:R105" si="78">SUM(P98:P104)</f>
        <v>-5.0609999999999999</v>
      </c>
      <c r="Q105" s="29">
        <f t="shared" si="78"/>
        <v>-9.2170000000000005</v>
      </c>
      <c r="R105" s="29">
        <f t="shared" si="78"/>
        <v>-5.2219999999999995</v>
      </c>
      <c r="S105" s="29">
        <f>SUM(S98:S104)</f>
        <v>-13.262</v>
      </c>
      <c r="T105" s="29">
        <f t="shared" ref="T105:U105" si="79">SUM(T98:T104)</f>
        <v>13.370000000000003</v>
      </c>
      <c r="U105" s="29">
        <f t="shared" si="79"/>
        <v>-16.002000000000002</v>
      </c>
      <c r="W105" s="83"/>
    </row>
    <row r="106" spans="2:23" x14ac:dyDescent="0.2">
      <c r="T106" s="6"/>
    </row>
    <row r="107" spans="2:23" x14ac:dyDescent="0.2">
      <c r="B107" s="1" t="s">
        <v>107</v>
      </c>
      <c r="I107" s="6">
        <f>+I93+I94+I95</f>
        <v>-0.20499999999999999</v>
      </c>
      <c r="J107" s="44">
        <f>+J93+J94+J95</f>
        <v>-6.9269999999999996</v>
      </c>
      <c r="K107" s="6">
        <f>+K93+K94+K95</f>
        <v>-17.099000000000004</v>
      </c>
      <c r="P107" s="6">
        <f t="shared" ref="P107" si="80">+P93+P94+P95</f>
        <v>-5.3520000000000003</v>
      </c>
      <c r="Q107" s="6">
        <f t="shared" ref="Q107:R107" si="81">+Q93+Q94+Q95</f>
        <v>-6.2170000000000005</v>
      </c>
      <c r="R107" s="6">
        <f t="shared" si="81"/>
        <v>-12.805999999999999</v>
      </c>
      <c r="S107" s="6">
        <f t="shared" ref="S107:T107" si="82">+S93+S94+S95</f>
        <v>-10.167999999999999</v>
      </c>
      <c r="T107" s="6">
        <f t="shared" si="82"/>
        <v>-6.1629999999999994</v>
      </c>
      <c r="U107" s="6">
        <f>+U93+U94+U95</f>
        <v>-7.1319999999999997</v>
      </c>
    </row>
    <row r="108" spans="2:23" s="3" customFormat="1" x14ac:dyDescent="0.2">
      <c r="B108" s="3" t="s">
        <v>108</v>
      </c>
      <c r="D108" s="33"/>
      <c r="F108" s="33"/>
      <c r="H108" s="33"/>
      <c r="I108" s="29">
        <f>+I90+I107</f>
        <v>4.6440000000000001</v>
      </c>
      <c r="J108" s="45">
        <f>+J90+J107</f>
        <v>15.657</v>
      </c>
      <c r="K108" s="29">
        <f>+K90+K107</f>
        <v>8.399999999999995</v>
      </c>
      <c r="L108" s="33"/>
      <c r="N108" s="83"/>
      <c r="P108" s="29">
        <f t="shared" ref="P108" si="83">+P90+P107</f>
        <v>8.4249999999999989</v>
      </c>
      <c r="Q108" s="29">
        <f t="shared" ref="Q108:R108" si="84">+Q90+Q107</f>
        <v>4.602999999999998</v>
      </c>
      <c r="R108" s="29">
        <f t="shared" si="84"/>
        <v>4.9489999999999998</v>
      </c>
      <c r="S108" s="29">
        <f t="shared" ref="S108:T108" si="85">+S90+S107</f>
        <v>10.452000000000002</v>
      </c>
      <c r="T108" s="29">
        <f t="shared" si="85"/>
        <v>-8.1639999999999979</v>
      </c>
      <c r="U108" s="29">
        <f>+U90+U107</f>
        <v>20.301000000000002</v>
      </c>
      <c r="W108" s="83"/>
    </row>
  </sheetData>
  <hyperlinks>
    <hyperlink ref="K1" r:id="rId1" xr:uid="{4AF70136-1990-41FC-9821-A532866EF9F7}"/>
    <hyperlink ref="U1" r:id="rId2" xr:uid="{554E5D0D-5054-42D6-BF8F-B3F5BCA52C04}"/>
    <hyperlink ref="S1" r:id="rId3" xr:uid="{216FF58D-FA70-405C-A407-B5B577849372}"/>
    <hyperlink ref="Q1" r:id="rId4" xr:uid="{6E36EA97-7B8A-43C0-B9ED-837CF2901242}"/>
    <hyperlink ref="M1" r:id="rId5" xr:uid="{C87CAFEE-4614-48BA-8BDA-B7A005A169D3}"/>
    <hyperlink ref="V1" r:id="rId6" xr:uid="{A24A9CA2-1A05-44EA-9933-57F44C51F91A}"/>
  </hyperlinks>
  <pageMargins left="0.7" right="0.7" top="0.75" bottom="0.75" header="0.3" footer="0.3"/>
  <pageSetup paperSize="125" orientation="portrait" horizontalDpi="203" verticalDpi="203" r:id="rId7"/>
  <ignoredErrors>
    <ignoredError sqref="J10 J15:J18 L10:L18" formula="1"/>
    <ignoredError sqref="T101:T104 S8 U8:V8 S38:V38 T98:T99 P38:R38 M8" formulaRange="1"/>
  </ignoredErrors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H</cp:lastModifiedBy>
  <dcterms:created xsi:type="dcterms:W3CDTF">2022-07-06T18:16:50Z</dcterms:created>
  <dcterms:modified xsi:type="dcterms:W3CDTF">2023-09-20T21:25:43Z</dcterms:modified>
</cp:coreProperties>
</file>