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A7F18EB-2297-4386-8E3B-FA60D2A18EB4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Historical Projections" sheetId="4" r:id="rId3"/>
    <sheet name="Price Histo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10" i="1"/>
  <c r="C9" i="1"/>
  <c r="C7" i="1"/>
  <c r="AC33" i="2"/>
  <c r="AA33" i="2"/>
  <c r="AB33" i="2"/>
  <c r="Z33" i="2"/>
  <c r="V83" i="2"/>
  <c r="V82" i="2"/>
  <c r="V81" i="2"/>
  <c r="V79" i="2"/>
  <c r="V78" i="2"/>
  <c r="V74" i="2"/>
  <c r="V73" i="2"/>
  <c r="V75" i="2" s="1"/>
  <c r="V70" i="2"/>
  <c r="V71" i="2" s="1"/>
  <c r="V68" i="2"/>
  <c r="V51" i="2"/>
  <c r="V60" i="2"/>
  <c r="V65" i="2" s="1"/>
  <c r="V53" i="2"/>
  <c r="V47" i="2"/>
  <c r="AC20" i="2"/>
  <c r="AC16" i="2"/>
  <c r="V16" i="2"/>
  <c r="U16" i="2"/>
  <c r="AC38" i="2"/>
  <c r="AC37" i="2"/>
  <c r="AC35" i="2"/>
  <c r="AC34" i="2"/>
  <c r="AC2" i="2"/>
  <c r="AC3" i="2"/>
  <c r="AC14" i="2"/>
  <c r="V38" i="2"/>
  <c r="V36" i="2"/>
  <c r="V35" i="2"/>
  <c r="V22" i="2"/>
  <c r="AP31" i="2" l="1"/>
  <c r="AC15" i="2"/>
  <c r="AC11" i="2"/>
  <c r="AD11" i="2" s="1"/>
  <c r="AC10" i="2"/>
  <c r="AD10" i="2" s="1"/>
  <c r="AD20" i="2"/>
  <c r="AE20" i="2" s="1"/>
  <c r="AF20" i="2" s="1"/>
  <c r="AG20" i="2" s="1"/>
  <c r="AH20" i="2" s="1"/>
  <c r="AI20" i="2" s="1"/>
  <c r="AJ20" i="2" s="1"/>
  <c r="AK20" i="2" s="1"/>
  <c r="AL20" i="2" s="1"/>
  <c r="AM20" i="2" s="1"/>
  <c r="AD15" i="2" l="1"/>
  <c r="AE15" i="2" s="1"/>
  <c r="AF15" i="2" s="1"/>
  <c r="AC9" i="2"/>
  <c r="AC7" i="2"/>
  <c r="AC4" i="2"/>
  <c r="AD4" i="2" s="1"/>
  <c r="AD9" i="2" s="1"/>
  <c r="V6" i="2"/>
  <c r="AC8" i="2"/>
  <c r="AC12" i="2" l="1"/>
  <c r="AC30" i="2"/>
  <c r="AD8" i="2"/>
  <c r="AD5" i="2"/>
  <c r="AD6" i="2" s="1"/>
  <c r="AE4" i="2"/>
  <c r="AD7" i="2"/>
  <c r="AD30" i="2" s="1"/>
  <c r="AC5" i="2"/>
  <c r="AC6" i="2" s="1"/>
  <c r="AC25" i="2" s="1"/>
  <c r="V31" i="2"/>
  <c r="V30" i="2"/>
  <c r="AC22" i="2"/>
  <c r="V12" i="2"/>
  <c r="V13" i="2" s="1"/>
  <c r="U78" i="2"/>
  <c r="U82" i="2" s="1"/>
  <c r="U74" i="2"/>
  <c r="U73" i="2"/>
  <c r="U75" i="2" s="1"/>
  <c r="U60" i="2"/>
  <c r="U65" i="2" s="1"/>
  <c r="U68" i="2" s="1"/>
  <c r="U51" i="2"/>
  <c r="U47" i="2"/>
  <c r="U53" i="2" s="1"/>
  <c r="U70" i="2" s="1"/>
  <c r="U71" i="2" s="1"/>
  <c r="U38" i="2"/>
  <c r="T38" i="2"/>
  <c r="U36" i="2"/>
  <c r="U35" i="2"/>
  <c r="U31" i="2"/>
  <c r="U30" i="2"/>
  <c r="U26" i="2"/>
  <c r="U25" i="2"/>
  <c r="V25" i="2" s="1"/>
  <c r="U23" i="2"/>
  <c r="V23" i="2" s="1"/>
  <c r="U22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U81" i="2" l="1"/>
  <c r="U18" i="2"/>
  <c r="U28" i="2"/>
  <c r="U79" i="2"/>
  <c r="AF4" i="2"/>
  <c r="AF7" i="2" s="1"/>
  <c r="AE7" i="2"/>
  <c r="AE30" i="2" s="1"/>
  <c r="AD12" i="2"/>
  <c r="AD13" i="2" s="1"/>
  <c r="AD26" i="2" s="1"/>
  <c r="AE8" i="2"/>
  <c r="AE5" i="2"/>
  <c r="AE6" i="2" s="1"/>
  <c r="AE9" i="2"/>
  <c r="AC13" i="2"/>
  <c r="AC26" i="2" s="1"/>
  <c r="V26" i="2"/>
  <c r="F6" i="2"/>
  <c r="F25" i="2" s="1"/>
  <c r="J35" i="2"/>
  <c r="N35" i="2"/>
  <c r="F38" i="2"/>
  <c r="J38" i="2"/>
  <c r="J30" i="2"/>
  <c r="N30" i="2"/>
  <c r="J22" i="2"/>
  <c r="N22" i="2"/>
  <c r="J6" i="2"/>
  <c r="J25" i="2" s="1"/>
  <c r="Y67" i="2"/>
  <c r="Y78" i="2"/>
  <c r="Y82" i="2" s="1"/>
  <c r="F78" i="2"/>
  <c r="J78" i="2"/>
  <c r="F74" i="2"/>
  <c r="Y74" i="2" s="1"/>
  <c r="F73" i="2"/>
  <c r="F60" i="2"/>
  <c r="F65" i="2" s="1"/>
  <c r="F68" i="2" s="1"/>
  <c r="Z78" i="2"/>
  <c r="Z82" i="2" s="1"/>
  <c r="T74" i="2"/>
  <c r="S74" i="2"/>
  <c r="R74" i="2"/>
  <c r="Q74" i="2"/>
  <c r="N74" i="2"/>
  <c r="J74" i="2"/>
  <c r="Z74" i="2" s="1"/>
  <c r="J73" i="2"/>
  <c r="Z73" i="2" s="1"/>
  <c r="S60" i="2"/>
  <c r="R60" i="2"/>
  <c r="Q60" i="2"/>
  <c r="T60" i="2"/>
  <c r="Z67" i="2"/>
  <c r="J60" i="2"/>
  <c r="J65" i="2" s="1"/>
  <c r="J68" i="2" s="1"/>
  <c r="AB59" i="2"/>
  <c r="Y59" i="2"/>
  <c r="Z59" i="2"/>
  <c r="N60" i="2"/>
  <c r="AA59" i="2"/>
  <c r="Z58" i="2"/>
  <c r="Z48" i="2"/>
  <c r="Z50" i="2"/>
  <c r="F51" i="2"/>
  <c r="Y51" i="2" s="1"/>
  <c r="J51" i="2"/>
  <c r="Z51" i="2" s="1"/>
  <c r="Z34" i="2"/>
  <c r="Y34" i="2"/>
  <c r="Z64" i="2"/>
  <c r="Y64" i="2"/>
  <c r="Z63" i="2"/>
  <c r="Y63" i="2"/>
  <c r="Z62" i="2"/>
  <c r="Y62" i="2"/>
  <c r="Z61" i="2"/>
  <c r="Y61" i="2"/>
  <c r="Y58" i="2"/>
  <c r="Z57" i="2"/>
  <c r="Y57" i="2"/>
  <c r="Z56" i="2"/>
  <c r="Y56" i="2"/>
  <c r="Z55" i="2"/>
  <c r="Y55" i="2"/>
  <c r="Z52" i="2"/>
  <c r="Y52" i="2"/>
  <c r="Y50" i="2"/>
  <c r="Z49" i="2"/>
  <c r="Y49" i="2"/>
  <c r="Y48" i="2"/>
  <c r="Z44" i="2"/>
  <c r="Y44" i="2"/>
  <c r="Z46" i="2"/>
  <c r="Y46" i="2"/>
  <c r="Z45" i="2"/>
  <c r="Y45" i="2"/>
  <c r="Y43" i="2"/>
  <c r="Z43" i="2"/>
  <c r="J47" i="2"/>
  <c r="F47" i="2"/>
  <c r="AA22" i="2"/>
  <c r="Z22" i="2"/>
  <c r="Z38" i="2"/>
  <c r="Y38" i="2"/>
  <c r="AA30" i="2"/>
  <c r="Z30" i="2"/>
  <c r="Z6" i="2"/>
  <c r="Z25" i="2" s="1"/>
  <c r="Y6" i="2"/>
  <c r="Y25" i="2" s="1"/>
  <c r="N38" i="2"/>
  <c r="F53" i="2" l="1"/>
  <c r="F70" i="2" s="1"/>
  <c r="F71" i="2" s="1"/>
  <c r="F81" i="2" s="1"/>
  <c r="U19" i="2"/>
  <c r="U27" i="2"/>
  <c r="Z35" i="2"/>
  <c r="J53" i="2"/>
  <c r="J70" i="2" s="1"/>
  <c r="J71" i="2" s="1"/>
  <c r="J81" i="2" s="1"/>
  <c r="Y60" i="2"/>
  <c r="AF5" i="2"/>
  <c r="AF6" i="2" s="1"/>
  <c r="AF9" i="2"/>
  <c r="AG4" i="2"/>
  <c r="AH4" i="2" s="1"/>
  <c r="AF8" i="2"/>
  <c r="AD16" i="2"/>
  <c r="AD17" i="2" s="1"/>
  <c r="AD18" i="2" s="1"/>
  <c r="AE12" i="2"/>
  <c r="AE13" i="2" s="1"/>
  <c r="AE16" i="2" s="1"/>
  <c r="AC17" i="2"/>
  <c r="AF30" i="2"/>
  <c r="Y47" i="2"/>
  <c r="Z60" i="2"/>
  <c r="Z75" i="2"/>
  <c r="Z79" i="2" s="1"/>
  <c r="Z47" i="2"/>
  <c r="Z53" i="2" s="1"/>
  <c r="F75" i="2"/>
  <c r="F79" i="2" s="1"/>
  <c r="J13" i="2"/>
  <c r="J26" i="2" s="1"/>
  <c r="Y13" i="2"/>
  <c r="Z13" i="2"/>
  <c r="Y73" i="2"/>
  <c r="Y75" i="2" s="1"/>
  <c r="Y79" i="2" s="1"/>
  <c r="F13" i="2"/>
  <c r="J75" i="2"/>
  <c r="J79" i="2" s="1"/>
  <c r="Z65" i="2"/>
  <c r="Z68" i="2" s="1"/>
  <c r="Y65" i="2"/>
  <c r="Y68" i="2" s="1"/>
  <c r="Y53" i="2"/>
  <c r="Q73" i="2"/>
  <c r="Q75" i="2" s="1"/>
  <c r="Q65" i="2"/>
  <c r="Q68" i="2" s="1"/>
  <c r="Q51" i="2"/>
  <c r="Q47" i="2"/>
  <c r="Q53" i="2" s="1"/>
  <c r="M78" i="2"/>
  <c r="O78" i="2"/>
  <c r="Q78" i="2"/>
  <c r="Q35" i="2"/>
  <c r="Q36" i="2"/>
  <c r="P36" i="2"/>
  <c r="O36" i="2"/>
  <c r="N36" i="2"/>
  <c r="N31" i="2"/>
  <c r="Q22" i="2"/>
  <c r="N23" i="2"/>
  <c r="M6" i="2"/>
  <c r="M25" i="2" s="1"/>
  <c r="R31" i="2"/>
  <c r="Q31" i="2"/>
  <c r="Q30" i="2"/>
  <c r="R23" i="2"/>
  <c r="Q23" i="2"/>
  <c r="Q6" i="2"/>
  <c r="Q25" i="2" s="1"/>
  <c r="R36" i="2"/>
  <c r="Q38" i="2"/>
  <c r="AA77" i="2"/>
  <c r="AA78" i="2" s="1"/>
  <c r="AA82" i="2" s="1"/>
  <c r="AB77" i="2"/>
  <c r="AB78" i="2" s="1"/>
  <c r="AB82" i="2" s="1"/>
  <c r="AA74" i="2"/>
  <c r="AB74" i="2"/>
  <c r="AA64" i="2"/>
  <c r="AA67" i="2"/>
  <c r="AB67" i="2"/>
  <c r="AA61" i="2"/>
  <c r="AB64" i="2"/>
  <c r="AB63" i="2"/>
  <c r="AA63" i="2"/>
  <c r="AB62" i="2"/>
  <c r="AA62" i="2"/>
  <c r="AB61" i="2"/>
  <c r="AA58" i="2"/>
  <c r="AA57" i="2"/>
  <c r="AA56" i="2"/>
  <c r="AA55" i="2"/>
  <c r="N73" i="2"/>
  <c r="N75" i="2" s="1"/>
  <c r="N65" i="2"/>
  <c r="N68" i="2" s="1"/>
  <c r="AB58" i="2"/>
  <c r="AB57" i="2"/>
  <c r="AB56" i="2"/>
  <c r="AB55" i="2"/>
  <c r="AB52" i="2"/>
  <c r="AA52" i="2"/>
  <c r="AB50" i="2"/>
  <c r="AA50" i="2"/>
  <c r="AB49" i="2"/>
  <c r="AA49" i="2"/>
  <c r="AB48" i="2"/>
  <c r="AA48" i="2"/>
  <c r="AB46" i="2"/>
  <c r="AA46" i="2"/>
  <c r="AA45" i="2"/>
  <c r="AB45" i="2"/>
  <c r="AB44" i="2"/>
  <c r="AB43" i="2"/>
  <c r="AA44" i="2"/>
  <c r="AA43" i="2"/>
  <c r="N51" i="2"/>
  <c r="AA51" i="2" s="1"/>
  <c r="N47" i="2"/>
  <c r="AA38" i="2"/>
  <c r="AA34" i="2"/>
  <c r="AA35" i="2" s="1"/>
  <c r="AB37" i="2"/>
  <c r="AB38" i="2" s="1"/>
  <c r="AB34" i="2"/>
  <c r="AB30" i="2"/>
  <c r="AB22" i="2"/>
  <c r="AA6" i="2"/>
  <c r="AA25" i="2" s="1"/>
  <c r="AB6" i="2"/>
  <c r="AB25" i="2" s="1"/>
  <c r="N78" i="2"/>
  <c r="N82" i="2" s="1"/>
  <c r="J16" i="2" l="1"/>
  <c r="AF12" i="2"/>
  <c r="AH7" i="2"/>
  <c r="AH8" i="2"/>
  <c r="AF13" i="2"/>
  <c r="AG7" i="2"/>
  <c r="AG8" i="2"/>
  <c r="AG9" i="2"/>
  <c r="AG12" i="2" s="1"/>
  <c r="AG5" i="2"/>
  <c r="AG6" i="2" s="1"/>
  <c r="AE26" i="2"/>
  <c r="AC28" i="2"/>
  <c r="AC18" i="2"/>
  <c r="AC19" i="2" s="1"/>
  <c r="V18" i="2"/>
  <c r="V19" i="2" s="1"/>
  <c r="AD19" i="2"/>
  <c r="AD27" i="2"/>
  <c r="AI4" i="2"/>
  <c r="AI8" i="2" s="1"/>
  <c r="AH5" i="2"/>
  <c r="AH6" i="2" s="1"/>
  <c r="AH9" i="2"/>
  <c r="AE17" i="2"/>
  <c r="AE18" i="2" s="1"/>
  <c r="AG30" i="2"/>
  <c r="AF26" i="2"/>
  <c r="AF16" i="2"/>
  <c r="Y70" i="2"/>
  <c r="Y71" i="2" s="1"/>
  <c r="Y81" i="2" s="1"/>
  <c r="N53" i="2"/>
  <c r="N70" i="2" s="1"/>
  <c r="N71" i="2" s="1"/>
  <c r="N81" i="2" s="1"/>
  <c r="AA47" i="2"/>
  <c r="AB47" i="2"/>
  <c r="Z70" i="2"/>
  <c r="Z71" i="2" s="1"/>
  <c r="Z81" i="2" s="1"/>
  <c r="Q13" i="2"/>
  <c r="Q16" i="2" s="1"/>
  <c r="Q18" i="2" s="1"/>
  <c r="AB35" i="2"/>
  <c r="F26" i="2"/>
  <c r="F16" i="2"/>
  <c r="Z16" i="2"/>
  <c r="Z26" i="2"/>
  <c r="AB13" i="2"/>
  <c r="AA13" i="2"/>
  <c r="AA26" i="2" s="1"/>
  <c r="AB60" i="2"/>
  <c r="AB65" i="2" s="1"/>
  <c r="AB68" i="2" s="1"/>
  <c r="AA60" i="2"/>
  <c r="AA65" i="2" s="1"/>
  <c r="AA68" i="2" s="1"/>
  <c r="AA73" i="2"/>
  <c r="AA75" i="2" s="1"/>
  <c r="AA79" i="2" s="1"/>
  <c r="N79" i="2"/>
  <c r="M13" i="2"/>
  <c r="Q79" i="2"/>
  <c r="Q82" i="2"/>
  <c r="J28" i="2"/>
  <c r="J18" i="2"/>
  <c r="Y16" i="2"/>
  <c r="Y26" i="2"/>
  <c r="Q70" i="2"/>
  <c r="Q71" i="2" s="1"/>
  <c r="Q81" i="2" s="1"/>
  <c r="AA53" i="2"/>
  <c r="R30" i="2"/>
  <c r="O31" i="2"/>
  <c r="R22" i="2"/>
  <c r="O23" i="2"/>
  <c r="N6" i="2"/>
  <c r="N25" i="2" s="1"/>
  <c r="S31" i="2"/>
  <c r="S23" i="2"/>
  <c r="R6" i="2"/>
  <c r="R25" i="2" s="1"/>
  <c r="R38" i="2"/>
  <c r="R35" i="2"/>
  <c r="S36" i="2"/>
  <c r="R78" i="2"/>
  <c r="R82" i="2" s="1"/>
  <c r="R73" i="2"/>
  <c r="AB73" i="2" s="1"/>
  <c r="AB75" i="2" s="1"/>
  <c r="AB79" i="2" s="1"/>
  <c r="R65" i="2"/>
  <c r="R68" i="2" s="1"/>
  <c r="R51" i="2"/>
  <c r="AB51" i="2" s="1"/>
  <c r="AB53" i="2" s="1"/>
  <c r="R47" i="2"/>
  <c r="S78" i="2"/>
  <c r="S82" i="2" s="1"/>
  <c r="S73" i="2"/>
  <c r="S75" i="2" s="1"/>
  <c r="S65" i="2"/>
  <c r="S68" i="2" s="1"/>
  <c r="S51" i="2"/>
  <c r="S47" i="2"/>
  <c r="AG13" i="2" l="1"/>
  <c r="AG16" i="2" s="1"/>
  <c r="AI7" i="2"/>
  <c r="V27" i="2"/>
  <c r="AC27" i="2"/>
  <c r="AE19" i="2"/>
  <c r="AE27" i="2"/>
  <c r="AH30" i="2"/>
  <c r="AH12" i="2"/>
  <c r="AH13" i="2" s="1"/>
  <c r="AF17" i="2"/>
  <c r="AF18" i="2" s="1"/>
  <c r="AJ4" i="2"/>
  <c r="AJ8" i="2" s="1"/>
  <c r="AI9" i="2"/>
  <c r="AI5" i="2"/>
  <c r="AI6" i="2" s="1"/>
  <c r="Q26" i="2"/>
  <c r="Q28" i="2"/>
  <c r="R53" i="2"/>
  <c r="R70" i="2" s="1"/>
  <c r="R71" i="2" s="1"/>
  <c r="R81" i="2" s="1"/>
  <c r="AB70" i="2"/>
  <c r="AB71" i="2" s="1"/>
  <c r="AB81" i="2" s="1"/>
  <c r="J19" i="2"/>
  <c r="J27" i="2"/>
  <c r="M16" i="2"/>
  <c r="M26" i="2"/>
  <c r="F18" i="2"/>
  <c r="F28" i="2"/>
  <c r="Q27" i="2"/>
  <c r="Q19" i="2"/>
  <c r="S53" i="2"/>
  <c r="S70" i="2" s="1"/>
  <c r="S71" i="2" s="1"/>
  <c r="S81" i="2" s="1"/>
  <c r="AA16" i="2"/>
  <c r="AA18" i="2" s="1"/>
  <c r="Y18" i="2"/>
  <c r="Y28" i="2"/>
  <c r="AB16" i="2"/>
  <c r="AB26" i="2"/>
  <c r="Z28" i="2"/>
  <c r="Z18" i="2"/>
  <c r="AA70" i="2"/>
  <c r="AA71" i="2" s="1"/>
  <c r="AA81" i="2" s="1"/>
  <c r="AA28" i="2"/>
  <c r="N13" i="2"/>
  <c r="S79" i="2"/>
  <c r="R13" i="2"/>
  <c r="R75" i="2"/>
  <c r="R79" i="2" s="1"/>
  <c r="S38" i="2"/>
  <c r="T36" i="2"/>
  <c r="S35" i="2"/>
  <c r="S30" i="2"/>
  <c r="P31" i="2"/>
  <c r="P23" i="2"/>
  <c r="T23" i="2"/>
  <c r="S22" i="2"/>
  <c r="O6" i="2"/>
  <c r="T31" i="2"/>
  <c r="S6" i="2"/>
  <c r="T35" i="2"/>
  <c r="AG26" i="2" l="1"/>
  <c r="AJ7" i="2"/>
  <c r="AF19" i="2"/>
  <c r="AF27" i="2"/>
  <c r="AJ5" i="2"/>
  <c r="AJ6" i="2" s="1"/>
  <c r="AJ9" i="2"/>
  <c r="AK4" i="2"/>
  <c r="AK8" i="2" s="1"/>
  <c r="AH26" i="2"/>
  <c r="AH16" i="2"/>
  <c r="AG17" i="2"/>
  <c r="AG18" i="2" s="1"/>
  <c r="AI30" i="2"/>
  <c r="AI12" i="2"/>
  <c r="AI13" i="2" s="1"/>
  <c r="S13" i="2"/>
  <c r="AB18" i="2"/>
  <c r="AB28" i="2"/>
  <c r="Y19" i="2"/>
  <c r="Y83" i="2" s="1"/>
  <c r="Y27" i="2"/>
  <c r="F27" i="2"/>
  <c r="F19" i="2"/>
  <c r="M18" i="2"/>
  <c r="M28" i="2"/>
  <c r="Z27" i="2"/>
  <c r="Z19" i="2"/>
  <c r="Z83" i="2" s="1"/>
  <c r="AA27" i="2"/>
  <c r="AA19" i="2"/>
  <c r="AA83" i="2" s="1"/>
  <c r="S25" i="2"/>
  <c r="O13" i="2"/>
  <c r="O16" i="2" s="1"/>
  <c r="S26" i="2"/>
  <c r="S16" i="2"/>
  <c r="S18" i="2" s="1"/>
  <c r="S19" i="2" s="1"/>
  <c r="O25" i="2"/>
  <c r="R26" i="2"/>
  <c r="R16" i="2"/>
  <c r="N16" i="2"/>
  <c r="N26" i="2"/>
  <c r="P78" i="2"/>
  <c r="T78" i="2"/>
  <c r="T82" i="2" s="1"/>
  <c r="T73" i="2"/>
  <c r="T65" i="2"/>
  <c r="T68" i="2" s="1"/>
  <c r="T51" i="2"/>
  <c r="T47" i="2"/>
  <c r="D11" i="1"/>
  <c r="D10" i="1"/>
  <c r="D9" i="1"/>
  <c r="D7" i="1"/>
  <c r="T30" i="2"/>
  <c r="T22" i="2"/>
  <c r="P6" i="2"/>
  <c r="P25" i="2" s="1"/>
  <c r="T6" i="2"/>
  <c r="AK7" i="2" l="1"/>
  <c r="AI26" i="2"/>
  <c r="AI16" i="2"/>
  <c r="AH17" i="2"/>
  <c r="AH18" i="2" s="1"/>
  <c r="AJ30" i="2"/>
  <c r="AJ12" i="2"/>
  <c r="AJ13" i="2" s="1"/>
  <c r="AL4" i="2"/>
  <c r="AL8" i="2" s="1"/>
  <c r="AK5" i="2"/>
  <c r="AK6" i="2" s="1"/>
  <c r="AK9" i="2"/>
  <c r="AG19" i="2"/>
  <c r="AG27" i="2"/>
  <c r="M27" i="2"/>
  <c r="M19" i="2"/>
  <c r="AB19" i="2"/>
  <c r="AB83" i="2" s="1"/>
  <c r="AB27" i="2"/>
  <c r="T53" i="2"/>
  <c r="T70" i="2" s="1"/>
  <c r="T71" i="2" s="1"/>
  <c r="T81" i="2" s="1"/>
  <c r="O28" i="2"/>
  <c r="O18" i="2"/>
  <c r="O19" i="2" s="1"/>
  <c r="T13" i="2"/>
  <c r="O26" i="2"/>
  <c r="T25" i="2"/>
  <c r="S27" i="2"/>
  <c r="T75" i="2"/>
  <c r="T79" i="2" s="1"/>
  <c r="P13" i="2"/>
  <c r="R28" i="2"/>
  <c r="R18" i="2"/>
  <c r="S28" i="2"/>
  <c r="N18" i="2"/>
  <c r="N28" i="2"/>
  <c r="O27" i="2"/>
  <c r="C8" i="1"/>
  <c r="C11" i="1"/>
  <c r="AP28" i="2" s="1"/>
  <c r="AL7" i="2" l="1"/>
  <c r="AH19" i="2"/>
  <c r="AH27" i="2"/>
  <c r="AM4" i="2"/>
  <c r="AM8" i="2" s="1"/>
  <c r="AL9" i="2"/>
  <c r="AL5" i="2"/>
  <c r="AL6" i="2" s="1"/>
  <c r="AK30" i="2"/>
  <c r="AK12" i="2"/>
  <c r="AK13" i="2" s="1"/>
  <c r="AI17" i="2"/>
  <c r="AI18" i="2" s="1"/>
  <c r="AJ26" i="2"/>
  <c r="AJ16" i="2"/>
  <c r="T16" i="2"/>
  <c r="T26" i="2"/>
  <c r="P16" i="2"/>
  <c r="P26" i="2"/>
  <c r="N27" i="2"/>
  <c r="N19" i="2"/>
  <c r="R19" i="2"/>
  <c r="R27" i="2"/>
  <c r="C12" i="1"/>
  <c r="AM7" i="2" l="1"/>
  <c r="AK26" i="2"/>
  <c r="AK16" i="2"/>
  <c r="AL30" i="2"/>
  <c r="AL12" i="2"/>
  <c r="AL13" i="2" s="1"/>
  <c r="AM9" i="2"/>
  <c r="AM5" i="2"/>
  <c r="AM6" i="2" s="1"/>
  <c r="AI19" i="2"/>
  <c r="AI27" i="2"/>
  <c r="AJ17" i="2"/>
  <c r="AJ18" i="2" s="1"/>
  <c r="N83" i="2"/>
  <c r="T28" i="2"/>
  <c r="T18" i="2"/>
  <c r="P18" i="2"/>
  <c r="P28" i="2"/>
  <c r="AL26" i="2" l="1"/>
  <c r="AL16" i="2"/>
  <c r="AJ19" i="2"/>
  <c r="AJ27" i="2"/>
  <c r="AM30" i="2"/>
  <c r="AM12" i="2"/>
  <c r="AM13" i="2" s="1"/>
  <c r="AK17" i="2"/>
  <c r="AK18" i="2" s="1"/>
  <c r="T27" i="2"/>
  <c r="T19" i="2"/>
  <c r="P19" i="2"/>
  <c r="P27" i="2"/>
  <c r="U83" i="2" l="1"/>
  <c r="AK19" i="2"/>
  <c r="AK27" i="2"/>
  <c r="AM26" i="2"/>
  <c r="AM16" i="2"/>
  <c r="AL17" i="2"/>
  <c r="AL18" i="2" s="1"/>
  <c r="Q83" i="2"/>
  <c r="R83" i="2"/>
  <c r="S83" i="2"/>
  <c r="T83" i="2"/>
  <c r="AL19" i="2" l="1"/>
  <c r="AL27" i="2"/>
  <c r="AM17" i="2"/>
  <c r="AM18" i="2" s="1"/>
  <c r="AN18" i="2" s="1"/>
  <c r="AO18" i="2" l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AM19" i="2"/>
  <c r="AM27" i="2"/>
  <c r="AP27" i="2" l="1"/>
  <c r="AP29" i="2" s="1"/>
  <c r="AP30" i="2" s="1"/>
  <c r="AP32" i="2" s="1"/>
  <c r="AQ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50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50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<sst xmlns="http://schemas.openxmlformats.org/spreadsheetml/2006/main" count="1801" uniqueCount="1736">
  <si>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</si>
  <si>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</si>
  <si>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</si>
  <si>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</si>
  <si>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</si>
  <si>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</si>
  <si>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</si>
  <si>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</si>
  <si>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</si>
  <si>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</si>
  <si>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</si>
  <si>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</si>
  <si>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</si>
  <si>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</si>
  <si>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</si>
  <si>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</si>
  <si>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</si>
  <si>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</si>
  <si>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</si>
  <si>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</si>
  <si>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</si>
  <si>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</si>
  <si>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</si>
  <si>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</si>
  <si>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</si>
  <si>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</si>
  <si>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</si>
  <si>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</si>
  <si>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</si>
  <si>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</si>
  <si>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</si>
  <si>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</si>
  <si>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</si>
  <si>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</si>
  <si>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</si>
  <si>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</si>
  <si>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</si>
  <si>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</si>
  <si>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</si>
  <si>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</si>
  <si>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</si>
  <si>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</si>
  <si>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</si>
  <si>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</si>
  <si>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</si>
  <si>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</si>
  <si>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</si>
  <si>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</si>
  <si>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</si>
  <si>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</si>
  <si>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</si>
  <si>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</si>
  <si>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</si>
  <si>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</si>
  <si>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</si>
  <si>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</si>
  <si>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</si>
  <si>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</si>
  <si>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</si>
  <si>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</si>
  <si>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</si>
  <si>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</si>
  <si>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</si>
  <si>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</si>
  <si>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</si>
  <si>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</si>
  <si>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</si>
  <si>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</si>
  <si>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</si>
  <si>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</si>
  <si>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</si>
  <si>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</si>
  <si>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</si>
  <si>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</si>
  <si>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</si>
  <si>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</si>
  <si>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</si>
  <si>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</si>
  <si>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</si>
  <si>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</si>
  <si>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</si>
  <si>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</si>
  <si>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</si>
  <si>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</si>
  <si>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</si>
  <si>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</si>
  <si>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</si>
  <si>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</si>
  <si>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</si>
  <si>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</si>
  <si>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</si>
  <si>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</si>
  <si>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</si>
  <si>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</si>
  <si>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</si>
  <si>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</si>
  <si>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</si>
  <si>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</si>
  <si>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</si>
  <si>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</si>
  <si>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</si>
  <si>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</si>
  <si>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</si>
  <si>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</si>
  <si>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</si>
  <si>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</si>
  <si>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</si>
  <si>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</si>
  <si>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</si>
  <si>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</si>
  <si>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</si>
  <si>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</si>
  <si>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</si>
  <si>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</si>
  <si>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</si>
  <si>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</si>
  <si>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</si>
  <si>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</si>
  <si>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</si>
  <si>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</si>
  <si>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</si>
  <si>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</si>
  <si>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</si>
  <si>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</si>
  <si>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</si>
  <si>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</si>
  <si>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</si>
  <si>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</si>
  <si>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</si>
  <si>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</si>
  <si>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</si>
  <si>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</si>
  <si>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</si>
  <si>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</si>
  <si>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</si>
  <si>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</si>
  <si>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</si>
  <si>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</si>
  <si>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</si>
  <si>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</si>
  <si>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</si>
  <si>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</si>
  <si>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</si>
  <si>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</si>
  <si>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</si>
  <si>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</si>
  <si>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</si>
  <si>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</si>
  <si>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</si>
  <si>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</si>
  <si>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</si>
  <si>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</si>
  <si>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</si>
  <si>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</si>
  <si>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</si>
  <si>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</si>
  <si>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</si>
  <si>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</si>
  <si>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</si>
  <si>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</si>
  <si>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</si>
  <si>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</si>
  <si>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</si>
  <si>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</si>
  <si>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</si>
  <si>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</si>
  <si>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</si>
  <si>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</si>
  <si>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</si>
  <si>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</si>
  <si>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</si>
  <si>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</si>
  <si>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</si>
  <si>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</si>
  <si>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</si>
  <si>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</si>
  <si>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</si>
  <si>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</si>
  <si>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</si>
  <si>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</si>
  <si>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</si>
  <si>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</si>
  <si>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</si>
  <si>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</si>
  <si>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</si>
  <si>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</si>
  <si>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</si>
  <si>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</si>
  <si>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</si>
  <si>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</si>
  <si>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</si>
  <si>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</si>
  <si>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</si>
  <si>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</si>
  <si>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</si>
  <si>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</si>
  <si>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</si>
  <si>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</si>
  <si>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</si>
  <si>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</si>
  <si>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</si>
  <si>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</si>
  <si>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</si>
  <si>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</si>
  <si>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</si>
  <si>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</si>
  <si>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</si>
  <si>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</si>
  <si>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</si>
  <si>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</si>
  <si>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</si>
  <si>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</si>
  <si>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</si>
  <si>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</si>
  <si>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</si>
  <si>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</si>
  <si>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</si>
  <si>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</si>
  <si>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</si>
  <si>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</si>
  <si>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</si>
  <si>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</si>
  <si>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</si>
  <si>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</si>
  <si>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</si>
  <si>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</si>
  <si>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</si>
  <si>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</si>
  <si>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</si>
  <si>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</si>
  <si>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</si>
  <si>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</si>
  <si>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</si>
  <si>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</si>
  <si>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</si>
  <si>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</si>
  <si>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</si>
  <si>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</si>
  <si>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</si>
  <si>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</si>
  <si>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</si>
  <si>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</si>
  <si>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</si>
  <si>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</si>
  <si>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</si>
  <si>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</si>
  <si>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</si>
  <si>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</si>
  <si>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</si>
  <si>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</si>
  <si>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</si>
  <si>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</si>
  <si>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</si>
  <si>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</si>
  <si>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</si>
  <si>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</si>
  <si>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</si>
  <si>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</si>
  <si>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</si>
  <si>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</si>
  <si>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</si>
  <si>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</si>
  <si>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</si>
  <si>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</si>
  <si>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</si>
  <si>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</si>
  <si>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</si>
  <si>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</si>
  <si>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</si>
  <si>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</si>
  <si>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</si>
  <si>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</si>
  <si>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</si>
  <si>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</si>
  <si>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</si>
  <si>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</si>
  <si>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</si>
  <si>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</si>
  <si>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</si>
  <si>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</si>
  <si>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</si>
  <si>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</si>
  <si>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</si>
  <si>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</si>
  <si>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</si>
  <si>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</si>
  <si>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</si>
  <si>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</si>
  <si>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</si>
  <si>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</si>
  <si>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</si>
  <si>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</si>
  <si>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</si>
  <si>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</si>
  <si>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</si>
  <si>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</si>
  <si>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</si>
  <si>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</si>
  <si>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</si>
  <si>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</si>
  <si>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</si>
  <si>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</si>
  <si>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</si>
  <si>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</si>
  <si>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</si>
  <si>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</si>
  <si>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</si>
  <si>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</si>
  <si>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</si>
  <si>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</si>
  <si>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</si>
  <si>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</si>
  <si>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</si>
  <si>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</si>
  <si>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</si>
  <si>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</si>
  <si>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</si>
  <si>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</si>
  <si>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</si>
  <si>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</si>
  <si>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</si>
  <si>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</si>
  <si>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</si>
  <si>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</si>
  <si>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</si>
  <si>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</si>
  <si>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</si>
  <si>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</si>
  <si>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</si>
  <si>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</si>
  <si>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</si>
  <si>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</si>
  <si>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</si>
  <si>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</si>
  <si>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</si>
  <si>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</si>
  <si>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</si>
  <si>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</si>
  <si>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</si>
  <si>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</si>
  <si>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</si>
  <si>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</si>
  <si>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</si>
  <si>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</si>
  <si>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</si>
  <si>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</si>
  <si>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</si>
  <si>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</si>
  <si>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</si>
  <si>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</si>
  <si>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</si>
  <si>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</si>
  <si>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</si>
  <si>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</si>
  <si>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</si>
  <si>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</si>
  <si>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</si>
  <si>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</si>
  <si>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</si>
  <si>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</si>
  <si>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</si>
  <si>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</si>
  <si>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</si>
  <si>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</si>
  <si>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</si>
  <si>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</si>
  <si>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</si>
  <si>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</si>
  <si>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</si>
  <si>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</si>
  <si>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</si>
  <si>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</si>
  <si>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</si>
  <si>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</si>
  <si>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</si>
  <si>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</si>
  <si>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</si>
  <si>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</si>
  <si>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</si>
  <si>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</si>
  <si>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</si>
  <si>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</si>
  <si>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</si>
  <si>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</si>
  <si>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</si>
  <si>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</si>
  <si>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</si>
  <si>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</si>
  <si>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</si>
  <si>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</si>
  <si>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</si>
  <si>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</si>
  <si>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</si>
  <si>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</si>
  <si>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</si>
  <si>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</si>
  <si>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</si>
  <si>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</si>
  <si>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</si>
  <si>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</si>
  <si>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</si>
  <si>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</si>
  <si>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</si>
  <si>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</si>
  <si>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</si>
  <si>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</si>
  <si>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</si>
  <si>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</si>
  <si>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</si>
  <si>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</si>
  <si>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</si>
  <si>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</si>
  <si>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</si>
  <si>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</si>
  <si>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</si>
  <si>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</si>
  <si>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</si>
  <si>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</si>
  <si>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</si>
  <si>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</si>
  <si>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</si>
  <si>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</si>
  <si>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</si>
  <si>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</si>
  <si>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</si>
  <si>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</si>
  <si>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</si>
  <si>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</si>
  <si>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</si>
  <si>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</si>
  <si>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</si>
  <si>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</si>
  <si>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</si>
  <si>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</si>
  <si>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</si>
  <si>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</si>
  <si>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</si>
  <si>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</si>
  <si>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</si>
  <si>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</si>
  <si>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</si>
  <si>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</si>
  <si>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</si>
  <si>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</si>
  <si>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</si>
  <si>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</si>
  <si>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</si>
  <si>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</si>
  <si>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</si>
  <si>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</si>
  <si>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</si>
  <si>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</si>
  <si>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</si>
  <si>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</si>
  <si>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</si>
  <si>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</si>
  <si>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</si>
  <si>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</si>
  <si>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</si>
  <si>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</si>
  <si>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</si>
  <si>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</si>
  <si>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</si>
  <si>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</si>
  <si>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</si>
  <si>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</si>
  <si>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</si>
  <si>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</si>
  <si>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</si>
  <si>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</si>
  <si>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</si>
  <si>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</si>
  <si>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</si>
  <si>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</si>
  <si>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</si>
  <si>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</si>
  <si>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</si>
  <si>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</si>
  <si>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</si>
  <si>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</si>
  <si>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</si>
  <si>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</si>
  <si>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</si>
  <si>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</si>
  <si>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</si>
  <si>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</si>
  <si>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</si>
  <si>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</si>
  <si>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</si>
  <si>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</si>
  <si>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</si>
  <si>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</si>
  <si>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</si>
  <si>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</si>
  <si>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</si>
  <si>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</si>
  <si>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</si>
  <si>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</si>
  <si>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</si>
  <si>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</si>
  <si>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</si>
  <si>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</si>
  <si>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</si>
  <si>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</si>
  <si>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</si>
  <si>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</si>
  <si>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</si>
  <si>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</si>
  <si>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</si>
  <si>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</si>
  <si>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</si>
  <si>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</si>
  <si>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</si>
  <si>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</si>
  <si>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</si>
  <si>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</si>
  <si>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</si>
  <si>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</si>
  <si>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</si>
  <si>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</si>
  <si>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</si>
  <si>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</si>
  <si>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</si>
  <si>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</si>
  <si>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</si>
  <si>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</si>
  <si>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</si>
  <si>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</si>
  <si>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</si>
  <si>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</si>
  <si>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</si>
  <si>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</si>
  <si>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</si>
  <si>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</si>
  <si>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</si>
  <si>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</si>
  <si>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</si>
  <si>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</si>
  <si>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</si>
  <si>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</si>
  <si>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</si>
  <si>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</si>
  <si>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</si>
  <si>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</si>
  <si>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</si>
  <si>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</si>
  <si>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</si>
  <si>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</si>
  <si>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</si>
  <si>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</si>
  <si>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</si>
  <si>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</si>
  <si>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</si>
  <si>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</si>
  <si>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</si>
  <si>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</si>
  <si>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</si>
  <si>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</si>
  <si>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</si>
  <si>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</si>
  <si>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</si>
  <si>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</si>
  <si>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</si>
  <si>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</si>
  <si>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</si>
  <si>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</si>
  <si>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</si>
  <si>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</si>
  <si>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</si>
  <si>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</si>
  <si>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</si>
  <si>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</si>
  <si>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</si>
  <si>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</si>
  <si>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</si>
  <si>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</si>
  <si>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</si>
  <si>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</si>
  <si>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</si>
  <si>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</si>
  <si>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</si>
  <si>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</si>
  <si>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</si>
  <si>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</si>
  <si>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</si>
  <si>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</si>
  <si>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</si>
  <si>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</si>
  <si>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</si>
  <si>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</si>
  <si>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</si>
  <si>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</si>
  <si>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</si>
  <si>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</si>
  <si>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</si>
  <si>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</si>
  <si>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</si>
  <si>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</si>
  <si>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</si>
  <si>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</si>
  <si>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</si>
  <si>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</si>
  <si>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</si>
  <si>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</si>
  <si>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</si>
  <si>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</si>
  <si>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</si>
  <si>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</si>
  <si>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</si>
  <si>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</si>
  <si>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</si>
  <si>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</si>
  <si>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</si>
  <si>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</si>
  <si>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</si>
  <si>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</si>
  <si>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</si>
  <si>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</si>
  <si>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</si>
  <si>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</si>
  <si>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</si>
  <si>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</si>
  <si>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</si>
  <si>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</si>
  <si>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</si>
  <si>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</si>
  <si>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</si>
  <si>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</si>
  <si>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</si>
  <si>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</si>
  <si>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</si>
  <si>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</si>
  <si>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</si>
  <si>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</si>
  <si>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</si>
  <si>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</si>
  <si>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</si>
  <si>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</si>
  <si>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</si>
  <si>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</si>
  <si>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</si>
  <si>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</si>
  <si>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</si>
  <si>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</si>
  <si>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</si>
  <si>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</si>
  <si>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</si>
  <si>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</si>
  <si>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</si>
  <si>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</si>
  <si>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</si>
  <si>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</si>
  <si>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</si>
  <si>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</si>
  <si>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</si>
  <si>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</si>
  <si>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</si>
  <si>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</si>
  <si>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</si>
  <si>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</si>
  <si>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</si>
  <si>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</si>
  <si>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</si>
  <si>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</si>
  <si>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</si>
  <si>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</si>
  <si>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</si>
  <si>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</si>
  <si>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</si>
  <si>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</si>
  <si>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</si>
  <si>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</si>
  <si>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</si>
  <si>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</si>
  <si>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</si>
  <si>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</si>
  <si>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</si>
  <si>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</si>
  <si>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</si>
  <si>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</si>
  <si>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</si>
  <si>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</si>
  <si>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</si>
  <si>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</si>
  <si>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</si>
  <si>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</si>
  <si>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</si>
  <si>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</si>
  <si>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</si>
  <si>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</si>
  <si>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</si>
  <si>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</si>
  <si>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</si>
  <si>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</si>
  <si>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</si>
  <si>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</si>
  <si>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</si>
  <si>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</si>
  <si>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</si>
  <si>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</si>
  <si>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</si>
  <si>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</si>
  <si>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</si>
  <si>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</si>
  <si>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</si>
  <si>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</si>
  <si>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</si>
  <si>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</si>
  <si>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</si>
  <si>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</si>
  <si>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</si>
  <si>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</si>
  <si>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</si>
  <si>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</si>
  <si>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</si>
  <si>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</si>
  <si>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</si>
  <si>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</si>
  <si>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</si>
  <si>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</si>
  <si>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</si>
  <si>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</si>
  <si>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</si>
  <si>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</si>
  <si>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</si>
  <si>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</si>
  <si>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</si>
  <si>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</si>
  <si>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</si>
  <si>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</si>
  <si>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</si>
  <si>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</si>
  <si>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</si>
  <si>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</si>
  <si>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</si>
  <si>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</si>
  <si>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</si>
  <si>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</si>
  <si>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</si>
  <si>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</si>
  <si>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</si>
  <si>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</si>
  <si>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</si>
  <si>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</si>
  <si>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</si>
  <si>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</si>
  <si>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</si>
  <si>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</si>
  <si>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</si>
  <si>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</si>
  <si>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</si>
  <si>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</si>
  <si>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</si>
  <si>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</si>
  <si>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</si>
  <si>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</si>
  <si>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</si>
  <si>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</si>
  <si>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</si>
  <si>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</si>
  <si>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</si>
  <si>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</si>
  <si>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</si>
  <si>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</si>
  <si>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</si>
  <si>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</si>
  <si>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</si>
  <si>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</si>
  <si>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</si>
  <si>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</si>
  <si>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</si>
  <si>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</si>
  <si>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</si>
  <si>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</si>
  <si>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</si>
  <si>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</si>
  <si>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</si>
  <si>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</si>
  <si>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</si>
  <si>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</si>
  <si>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</si>
  <si>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</si>
  <si>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</si>
  <si>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</si>
  <si>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</si>
  <si>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</si>
  <si>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</si>
  <si>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</si>
  <si>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</si>
  <si>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</si>
  <si>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</si>
  <si>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</si>
  <si>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</si>
  <si>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</si>
  <si>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</si>
  <si>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</si>
  <si>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</si>
  <si>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</si>
  <si>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</si>
  <si>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</si>
  <si>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</si>
  <si>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</si>
  <si>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</si>
  <si>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</si>
  <si>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</si>
  <si>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</si>
  <si>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</si>
  <si>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</si>
  <si>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</si>
  <si>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</si>
  <si>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</si>
  <si>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</si>
  <si>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</si>
  <si>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</si>
  <si>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</si>
  <si>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</si>
  <si>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</si>
  <si>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</si>
  <si>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</si>
  <si>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</si>
  <si>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</si>
  <si>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</si>
  <si>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</si>
  <si>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</si>
  <si>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</si>
  <si>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</si>
  <si>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</si>
  <si>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</si>
  <si>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</si>
  <si>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</si>
  <si>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</si>
  <si>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</si>
  <si>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</si>
  <si>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</si>
  <si>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</si>
  <si>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</si>
  <si>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</si>
  <si>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</si>
  <si>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</si>
  <si>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</si>
  <si>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</si>
  <si>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</si>
  <si>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</si>
  <si>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</si>
  <si>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</si>
  <si>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</si>
  <si>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</si>
  <si>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</si>
  <si>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</si>
  <si>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</si>
  <si>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</si>
  <si>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</si>
  <si>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</si>
  <si>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</si>
  <si>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</si>
  <si>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</si>
  <si>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</si>
  <si>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</si>
  <si>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</si>
  <si>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</si>
  <si>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</si>
  <si>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</si>
  <si>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</si>
  <si>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</si>
  <si>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</si>
  <si>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</si>
  <si>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</si>
  <si>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</si>
  <si>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</si>
  <si>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</si>
  <si>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</si>
  <si>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</si>
  <si>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</si>
  <si>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</si>
  <si>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</si>
  <si>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</si>
  <si>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</si>
  <si>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</si>
  <si>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</si>
  <si>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</si>
  <si>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</si>
  <si>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</si>
  <si>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</si>
  <si>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</si>
  <si>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</si>
  <si>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</si>
  <si>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</si>
  <si>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</si>
  <si>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</si>
  <si>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</si>
  <si>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</si>
  <si>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</si>
  <si>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</si>
  <si>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</si>
  <si>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</si>
  <si>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</si>
  <si>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</si>
  <si>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</si>
  <si>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</si>
  <si>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</si>
  <si>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</si>
  <si>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</si>
  <si>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</si>
  <si>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</si>
  <si>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</si>
  <si>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</si>
  <si>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</si>
  <si>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</si>
  <si>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</si>
  <si>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</si>
  <si>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</si>
  <si>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</si>
  <si>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</si>
  <si>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</si>
  <si>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</si>
  <si>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</si>
  <si>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</si>
  <si>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</si>
  <si>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</si>
  <si>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</si>
  <si>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</si>
  <si>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</si>
  <si>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</si>
  <si>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</si>
  <si>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</si>
  <si>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</si>
  <si>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</si>
  <si>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</si>
  <si>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</si>
  <si>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</si>
  <si>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</si>
  <si>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</si>
  <si>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</si>
  <si>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</si>
  <si>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</si>
  <si>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</si>
  <si>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</si>
  <si>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</si>
  <si>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</si>
  <si>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</si>
  <si>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</si>
  <si>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</si>
  <si>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</si>
  <si>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</si>
  <si>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</si>
  <si>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</si>
  <si>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</si>
  <si>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</si>
  <si>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</si>
  <si>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</si>
  <si>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</si>
  <si>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</si>
  <si>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</si>
  <si>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</si>
  <si>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</si>
  <si>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</si>
  <si>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</si>
  <si>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</si>
  <si>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</si>
  <si>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</si>
  <si>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</si>
  <si>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</si>
  <si>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</si>
  <si>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</si>
  <si>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</si>
  <si>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</si>
  <si>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</si>
  <si>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</si>
  <si>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</si>
  <si>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</si>
  <si>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</si>
  <si>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</si>
  <si>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</si>
  <si>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</si>
  <si>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</si>
  <si>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</si>
  <si>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</si>
  <si>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</si>
  <si>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</si>
  <si>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</si>
  <si>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</si>
  <si>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</si>
  <si>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</si>
  <si>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</si>
  <si>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</si>
  <si>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</si>
  <si>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</si>
  <si>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</si>
  <si>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</si>
  <si>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</si>
  <si>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</si>
  <si>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</si>
  <si>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</si>
  <si>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</si>
  <si>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</si>
  <si>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</si>
  <si>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</si>
  <si>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</si>
  <si>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</si>
  <si>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</si>
  <si>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</si>
  <si>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</si>
  <si>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</si>
  <si>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</si>
  <si>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</si>
  <si>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</si>
  <si>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</si>
  <si>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</si>
  <si>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</si>
  <si>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</si>
  <si>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</si>
  <si>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</si>
  <si>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</si>
  <si>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</si>
  <si>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</si>
  <si>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</si>
  <si>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</si>
  <si>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</si>
  <si>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</si>
  <si>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</si>
  <si>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</si>
  <si>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</si>
  <si>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</si>
  <si>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</si>
  <si>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</si>
  <si>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</si>
  <si>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</si>
  <si>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</si>
  <si>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</si>
  <si>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</si>
  <si>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</si>
  <si>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</si>
  <si>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</si>
  <si>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</si>
  <si>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</si>
  <si>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</si>
  <si>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</si>
  <si>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</si>
  <si>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</si>
  <si>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</si>
  <si>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</si>
  <si>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</si>
  <si>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</si>
  <si>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</si>
  <si>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</si>
  <si>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</si>
  <si>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</si>
  <si>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</si>
  <si>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</si>
  <si>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</si>
  <si>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</si>
  <si>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</si>
  <si>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</si>
  <si>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</si>
  <si>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</si>
  <si>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</si>
  <si>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</si>
  <si>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</si>
  <si>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</si>
  <si>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</si>
  <si>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</si>
  <si>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</si>
  <si>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</si>
  <si>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</si>
  <si>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</si>
  <si>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</si>
  <si>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</si>
  <si>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</si>
  <si>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</si>
  <si>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</si>
  <si>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</si>
  <si>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</si>
  <si>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</si>
  <si>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</si>
  <si>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</si>
  <si>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</si>
  <si>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</si>
  <si>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</si>
  <si>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</si>
  <si>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</si>
  <si>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</si>
  <si>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</si>
  <si>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</si>
  <si>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</si>
  <si>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</si>
  <si>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</si>
  <si>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</si>
  <si>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</si>
  <si>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</si>
  <si>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</si>
  <si>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</si>
  <si>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</si>
  <si>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</si>
  <si>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</si>
  <si>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</si>
  <si>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</si>
  <si>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</si>
  <si>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</si>
  <si>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</si>
  <si>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</si>
  <si>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</si>
  <si>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</si>
  <si>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</si>
  <si>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</si>
  <si>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</si>
  <si>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</si>
  <si>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</si>
  <si>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</si>
  <si>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</si>
  <si>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</si>
  <si>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</si>
  <si>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</si>
  <si>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</si>
  <si>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</si>
  <si>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</si>
  <si>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</si>
  <si>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</si>
  <si>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</si>
  <si>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</si>
  <si>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</si>
  <si>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</si>
  <si>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</si>
  <si>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</si>
  <si>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</si>
  <si>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</si>
  <si>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</si>
  <si>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</si>
  <si>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</si>
  <si>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</si>
  <si>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</si>
  <si>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</si>
  <si>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</si>
  <si>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</si>
  <si>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</si>
  <si>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</si>
  <si>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</si>
  <si>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</si>
  <si>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</si>
  <si>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</si>
  <si>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</si>
  <si>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</si>
  <si>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</si>
  <si>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</si>
  <si>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</si>
  <si>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</si>
  <si>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</si>
  <si>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</si>
  <si>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</si>
  <si>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</si>
  <si>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</si>
  <si>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</si>
  <si>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</si>
  <si>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</si>
  <si>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</si>
  <si>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</si>
  <si>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</si>
  <si>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</si>
  <si>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</si>
  <si>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</si>
  <si>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</si>
  <si>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</si>
  <si>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</si>
  <si>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</si>
  <si>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</si>
  <si>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</si>
  <si>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</si>
  <si>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</si>
  <si>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</si>
  <si>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</si>
  <si>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</si>
  <si>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</si>
  <si>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</si>
  <si>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</si>
  <si>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</si>
  <si>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</si>
  <si>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</si>
  <si>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</si>
  <si>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</si>
  <si>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</si>
  <si>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</si>
  <si>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</si>
  <si>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</si>
  <si>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</si>
  <si>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</si>
  <si>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</si>
  <si>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</si>
  <si>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</si>
  <si>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</si>
  <si>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</si>
  <si>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</si>
  <si>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</si>
  <si>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</si>
  <si>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</si>
  <si>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</si>
  <si>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</si>
  <si>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</si>
  <si>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</si>
  <si>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</si>
  <si>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</si>
  <si>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</si>
  <si>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</si>
  <si>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</si>
  <si>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</si>
  <si>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</si>
  <si>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</si>
  <si>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</si>
  <si>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</si>
  <si>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</si>
  <si>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</si>
  <si>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</si>
  <si>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</si>
  <si>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</si>
  <si>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</si>
  <si>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</si>
  <si>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</si>
  <si>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</si>
  <si>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</si>
  <si>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</si>
  <si>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</si>
  <si>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</si>
  <si>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</si>
  <si>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</si>
  <si>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</si>
  <si>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</si>
  <si>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</si>
  <si>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</si>
  <si>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</si>
  <si>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</si>
  <si>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</si>
  <si>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</si>
  <si>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</si>
  <si>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</si>
  <si>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</si>
  <si>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</si>
  <si>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</si>
  <si>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</si>
  <si>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</si>
  <si>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</si>
  <si>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</si>
  <si>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</si>
  <si>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</si>
  <si>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</si>
  <si>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</si>
  <si>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</si>
  <si>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</si>
  <si>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</si>
  <si>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</si>
  <si>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</si>
  <si>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</si>
  <si>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</si>
  <si>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</si>
  <si>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</si>
  <si>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</si>
  <si>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</si>
  <si>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</si>
  <si>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</si>
  <si>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</si>
  <si>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</si>
  <si>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</si>
  <si>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</si>
  <si>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</si>
  <si>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</si>
  <si>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</si>
  <si>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</si>
  <si>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</si>
  <si>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</si>
  <si>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</si>
  <si>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</si>
  <si>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</si>
  <si>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</si>
  <si>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</si>
  <si>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</si>
  <si>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</si>
  <si>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</si>
  <si>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</si>
  <si>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</si>
  <si>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</si>
  <si>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</si>
  <si>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</si>
  <si>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</si>
  <si>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</si>
  <si>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</si>
  <si>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</si>
  <si>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</si>
  <si>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</si>
  <si>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</si>
  <si>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</si>
  <si>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</si>
  <si>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</si>
  <si>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</si>
  <si>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</si>
  <si>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</si>
  <si>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</si>
  <si>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</si>
  <si>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</si>
  <si>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</si>
  <si>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</si>
  <si>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</si>
  <si>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</si>
  <si>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</si>
  <si>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</si>
  <si>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</si>
  <si>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</si>
  <si>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</si>
  <si>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</si>
  <si>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</si>
  <si>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</si>
  <si>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</si>
  <si>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</si>
  <si>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</si>
  <si>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</si>
  <si>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</si>
  <si>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</si>
  <si>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</si>
  <si>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</si>
  <si>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</si>
  <si>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</si>
  <si>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</si>
  <si>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</si>
  <si>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</si>
  <si>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</si>
  <si>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</si>
  <si>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</si>
  <si>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</si>
  <si>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</si>
  <si>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</si>
  <si>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</si>
  <si>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</si>
  <si>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</si>
  <si>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</si>
  <si>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</si>
  <si>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</si>
  <si>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</si>
  <si>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</si>
  <si>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</si>
  <si>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</si>
  <si>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</si>
  <si>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</si>
  <si>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</si>
  <si>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</si>
  <si>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</si>
  <si>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</si>
  <si>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</si>
  <si>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</si>
  <si>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</si>
  <si>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</si>
  <si>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</si>
  <si>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</si>
  <si>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</si>
  <si>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</si>
  <si>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</si>
  <si>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</si>
  <si>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</si>
  <si>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</si>
  <si>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</si>
  <si>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</si>
  <si>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</si>
  <si>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</si>
  <si>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</si>
  <si>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</si>
  <si>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</si>
  <si>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</si>
  <si>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</si>
  <si>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</si>
  <si>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</si>
  <si>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</si>
  <si>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</si>
  <si>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</si>
  <si>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</si>
  <si>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</si>
  <si>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</si>
  <si>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</si>
  <si>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</si>
  <si>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</si>
  <si>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</si>
  <si>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</si>
  <si>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</si>
  <si>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</si>
  <si>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</si>
  <si>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</si>
  <si>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</si>
  <si>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</si>
  <si>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</si>
  <si>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</si>
  <si>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</si>
  <si>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</si>
  <si>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</si>
  <si>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</si>
  <si>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</si>
  <si>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</si>
  <si>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</si>
  <si>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</si>
  <si>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</si>
  <si>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</si>
  <si>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</si>
  <si>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</si>
  <si>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</si>
  <si>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</si>
  <si>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</si>
  <si>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</si>
  <si>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</si>
  <si>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</si>
  <si>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</si>
  <si>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</si>
  <si>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</si>
  <si>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</si>
  <si>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</si>
  <si>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</si>
  <si>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</si>
  <si>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</si>
  <si>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</si>
  <si>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</si>
  <si>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</si>
  <si>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</si>
  <si>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</si>
  <si>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</si>
  <si>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</si>
  <si>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</si>
  <si>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</si>
  <si>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</si>
  <si>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</si>
  <si>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</si>
  <si>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</si>
  <si>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</si>
  <si>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</si>
  <si>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</si>
  <si>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</si>
  <si>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</si>
  <si>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</si>
  <si>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</si>
  <si>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</si>
  <si>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</si>
  <si>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</si>
  <si>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</si>
  <si>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</si>
  <si>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</si>
  <si>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</si>
  <si>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</si>
  <si>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</si>
  <si>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</si>
  <si>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</si>
  <si>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</si>
  <si>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</si>
  <si>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</si>
  <si>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</si>
  <si>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</si>
  <si>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</si>
  <si>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</si>
  <si>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</si>
  <si>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</si>
  <si>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</si>
  <si>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</si>
  <si>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</si>
  <si>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</si>
  <si>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</si>
  <si>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</si>
  <si>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</si>
  <si>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</si>
  <si>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</si>
  <si>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</si>
  <si>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</si>
  <si>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</si>
  <si>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</si>
  <si>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</si>
  <si>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</si>
  <si>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</si>
  <si>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</si>
  <si>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</si>
  <si>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</si>
  <si>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</si>
  <si>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</si>
  <si>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</si>
  <si>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</si>
  <si>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</si>
  <si>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</si>
  <si>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</si>
  <si>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</si>
  <si>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</si>
  <si>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</si>
  <si>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</si>
  <si>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</si>
  <si>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</si>
  <si>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</si>
  <si>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</si>
  <si>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</si>
  <si>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</si>
  <si>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</si>
  <si>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</si>
  <si>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</si>
  <si>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</si>
  <si>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</si>
  <si>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</si>
  <si>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</si>
  <si>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</si>
  <si>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</si>
  <si>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</si>
  <si>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</si>
  <si>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</si>
  <si>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</si>
  <si>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</si>
  <si>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</si>
  <si>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</si>
  <si>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</si>
  <si>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</si>
  <si>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</si>
  <si>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</si>
  <si>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</si>
  <si>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</si>
  <si>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</si>
  <si>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</si>
  <si>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</si>
  <si>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</si>
  <si>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</si>
  <si>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</si>
  <si>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</si>
  <si>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</si>
  <si>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</si>
  <si>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</si>
  <si>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</si>
  <si>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</si>
  <si>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</si>
  <si>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</si>
  <si>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</si>
  <si>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</si>
  <si>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</si>
  <si>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</si>
  <si>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</si>
  <si>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</si>
  <si>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</si>
  <si>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</si>
  <si>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</si>
  <si>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</si>
  <si>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</si>
  <si>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</si>
  <si>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</si>
  <si>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</si>
  <si>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</si>
  <si>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</si>
  <si>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</si>
  <si>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</si>
  <si>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</si>
  <si>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</si>
  <si>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</si>
  <si>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</si>
  <si>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</si>
  <si>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</si>
  <si>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</si>
  <si>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</si>
  <si>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</si>
  <si>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</si>
  <si>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</si>
  <si>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</si>
  <si>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</si>
  <si>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</si>
  <si>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</si>
  <si>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</si>
  <si>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</si>
  <si>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</si>
  <si>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</si>
  <si>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</si>
  <si>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</si>
  <si>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</si>
  <si>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</si>
  <si>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</si>
  <si>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</si>
  <si>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</si>
  <si>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</si>
  <si>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</si>
  <si>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</si>
  <si>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</si>
  <si>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</si>
  <si>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</si>
  <si>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</si>
  <si>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</si>
  <si>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</si>
  <si>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</si>
  <si>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</si>
  <si>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</si>
  <si>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</si>
  <si>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</si>
  <si>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</si>
  <si>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</si>
  <si>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</si>
  <si>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</si>
  <si>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</si>
  <si>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</si>
  <si>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</si>
  <si>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</si>
  <si>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</si>
  <si>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</si>
  <si>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</si>
  <si>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</si>
  <si>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</si>
  <si>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</si>
  <si>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</si>
  <si>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</si>
  <si>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</si>
  <si>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</si>
  <si>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</si>
  <si>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</si>
  <si>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</si>
  <si>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</si>
  <si>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</si>
  <si>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</si>
  <si>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</si>
  <si>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</si>
  <si>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</si>
  <si>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</si>
  <si>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</si>
  <si>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</si>
  <si>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</si>
  <si>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</si>
  <si>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</si>
  <si>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</si>
  <si>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</si>
  <si>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</si>
  <si>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</si>
  <si>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</si>
  <si>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</si>
  <si>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</si>
  <si>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</si>
  <si>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</si>
  <si>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</si>
  <si>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</si>
  <si>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</si>
  <si>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</si>
  <si>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</si>
  <si>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</si>
  <si>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</si>
  <si>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</si>
  <si>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</si>
  <si>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</si>
  <si>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</si>
  <si>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</si>
  <si>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</si>
  <si>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</si>
  <si>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</si>
  <si>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</si>
  <si>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</si>
  <si>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</si>
  <si>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</si>
  <si>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</si>
  <si>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</si>
  <si>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</si>
  <si>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</si>
  <si>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</si>
  <si>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</si>
  <si>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</si>
  <si>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</si>
  <si>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</si>
  <si>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</si>
  <si>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</si>
  <si>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</si>
  <si>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</si>
  <si>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</si>
  <si>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</si>
  <si>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</si>
  <si>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</si>
  <si>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</si>
  <si>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</si>
  <si>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</si>
  <si>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</si>
  <si>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</si>
  <si>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</si>
  <si>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</si>
  <si>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</si>
  <si>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</si>
  <si>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</si>
  <si>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</si>
  <si>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</si>
  <si>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</si>
  <si>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</si>
  <si>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</si>
  <si>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</si>
  <si>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</si>
  <si>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</si>
  <si>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</si>
  <si>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</si>
  <si>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</si>
  <si>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</si>
  <si>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</si>
  <si>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</si>
  <si>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</si>
  <si>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</si>
  <si>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</si>
  <si>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</si>
  <si>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</si>
  <si>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</si>
  <si>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</si>
  <si>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</si>
  <si>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</si>
  <si>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</si>
  <si>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</si>
  <si>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</si>
  <si>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</si>
  <si>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</si>
  <si>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</si>
  <si>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</si>
  <si>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</si>
  <si>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</si>
  <si>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</si>
  <si>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</si>
  <si>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</si>
  <si>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</si>
  <si>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</si>
  <si>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</si>
  <si>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</si>
  <si>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</si>
  <si>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</si>
  <si>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</si>
  <si>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</si>
  <si>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</si>
  <si>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</si>
  <si>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</si>
  <si>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</si>
  <si>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</si>
  <si>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</si>
  <si>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</si>
  <si>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</si>
  <si>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</si>
  <si>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</si>
  <si>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</si>
  <si>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</si>
  <si>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</si>
  <si>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</si>
  <si>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</si>
  <si>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</si>
  <si>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</si>
  <si>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</si>
  <si>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</si>
  <si>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</si>
  <si>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</si>
  <si>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</si>
  <si>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</si>
  <si>
    <t>Share of Equity Gains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</si>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</sst>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5" fillId="0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2" fontId="1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/>
    <xf numFmtId="9" fontId="9" fillId="0" borderId="0" xfId="0" applyNumberFormat="1" applyFont="1" applyFill="1"/>
    <xf numFmtId="0" fontId="9" fillId="0" borderId="0" xfId="0" applyFont="1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17" fontId="1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2" fontId="1" fillId="7" borderId="0" xfId="0" applyNumberFormat="1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9" fontId="9" fillId="7" borderId="0" xfId="0" applyNumberFormat="1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164" fontId="9" fillId="0" borderId="0" xfId="0" applyNumberFormat="1" applyFont="1" applyFill="1"/>
    <xf numFmtId="4" fontId="9" fillId="0" borderId="0" xfId="0" applyNumberFormat="1" applyFont="1" applyFill="1"/>
    <xf numFmtId="9" fontId="12" fillId="0" borderId="0" xfId="0" applyNumberFormat="1" applyFont="1" applyFill="1"/>
    <xf numFmtId="0" fontId="9" fillId="0" borderId="0" xfId="0" applyFont="1" applyFill="1" applyAlignment="1">
      <alignment horizontal="right"/>
    </xf>
    <xf numFmtId="9" fontId="9" fillId="0" borderId="0" xfId="0" applyNumberFormat="1" applyFont="1" applyFill="1" applyAlignment="1">
      <alignment horizontal="right"/>
    </xf>
    <xf numFmtId="0" fontId="12" fillId="0" borderId="0" xfId="0" applyFont="1" applyFill="1"/>
    <xf numFmtId="17" fontId="13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167" fontId="1" fillId="0" borderId="0" xfId="0" applyNumberFormat="1" applyFont="1" applyFill="1"/>
    <xf numFmtId="167" fontId="9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19050</xdr:rowOff>
    </xdr:from>
    <xdr:to>
      <xdr:col>22</xdr:col>
      <xdr:colOff>9525</xdr:colOff>
      <xdr:row>88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811250" y="1905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88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81356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hyperlink" Target="https://investors.twilio.com/news/news-details/2023/Twilio-Announces-Fourth-Quarter-and-Full-Year-2022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workbookViewId="0">
      <selection activeCell="G19" sqref="G19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94" t="s">
        <v>1716</v>
      </c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2:18" x14ac:dyDescent="0.2">
      <c r="B3" s="2" t="s">
        <v>1</v>
      </c>
    </row>
    <row r="5" spans="2:18" x14ac:dyDescent="0.2">
      <c r="B5" s="83" t="s">
        <v>2</v>
      </c>
      <c r="C5" s="84"/>
      <c r="D5" s="85"/>
      <c r="G5" s="83" t="s">
        <v>24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2:18" x14ac:dyDescent="0.2">
      <c r="B6" s="5" t="s">
        <v>3</v>
      </c>
      <c r="C6" s="4">
        <v>66.05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Model'!V20</f>
        <v>185.12070199999999</v>
      </c>
      <c r="D7" s="16" t="str">
        <f>$C$28</f>
        <v>Q422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12227.222367099999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Model'!V73</f>
        <v>4155.0689999999995</v>
      </c>
      <c r="D9" s="16" t="str">
        <f t="shared" ref="D9:D11" si="0">$C$28</f>
        <v>Q422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Model'!V74</f>
        <v>1008.6719999999999</v>
      </c>
      <c r="D10" s="16" t="str">
        <f t="shared" si="0"/>
        <v>Q422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3146.3969999999995</v>
      </c>
      <c r="D11" s="16" t="str">
        <f t="shared" si="0"/>
        <v>Q422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9080.8253671000002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83" t="s">
        <v>10</v>
      </c>
      <c r="C15" s="84"/>
      <c r="D15" s="85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92" t="s">
        <v>22</v>
      </c>
      <c r="D16" s="93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95"/>
      <c r="D17" s="96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92" t="s">
        <v>23</v>
      </c>
      <c r="D18" s="93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97"/>
      <c r="D19" s="98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83" t="s">
        <v>15</v>
      </c>
      <c r="C22" s="84"/>
      <c r="D22" s="85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92" t="s">
        <v>21</v>
      </c>
      <c r="D23" s="93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92">
        <v>2008</v>
      </c>
      <c r="D24" s="93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92">
        <v>2016</v>
      </c>
      <c r="D25" s="93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92"/>
      <c r="D26" s="93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92"/>
      <c r="D27" s="93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44</v>
      </c>
      <c r="D28" s="33">
        <v>42036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90" t="s">
        <v>20</v>
      </c>
      <c r="D29" s="91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83" t="s">
        <v>106</v>
      </c>
      <c r="C32" s="84"/>
      <c r="D32" s="85"/>
    </row>
    <row r="33" spans="2:4" x14ac:dyDescent="0.2">
      <c r="B33" s="13" t="s">
        <v>1719</v>
      </c>
      <c r="C33" s="86">
        <f>C6/'Financial Model'!V71</f>
        <v>1.1580514334355108</v>
      </c>
      <c r="D33" s="87"/>
    </row>
    <row r="34" spans="2:4" x14ac:dyDescent="0.2">
      <c r="B34" s="13" t="s">
        <v>1720</v>
      </c>
      <c r="C34" s="86">
        <f>C8/SUM('Financial Model'!$S$4:$V$4)</f>
        <v>3.1955558268895889</v>
      </c>
      <c r="D34" s="87"/>
    </row>
    <row r="35" spans="2:4" x14ac:dyDescent="0.2">
      <c r="B35" s="13" t="s">
        <v>1732</v>
      </c>
      <c r="C35" s="86">
        <f>C12/SUM('Financial Model'!$S$4:$V$4)</f>
        <v>2.3732523662024172</v>
      </c>
      <c r="D35" s="87"/>
    </row>
    <row r="36" spans="2:4" x14ac:dyDescent="0.2">
      <c r="B36" s="13" t="s">
        <v>1721</v>
      </c>
      <c r="C36" s="86">
        <f>C6/SUM('Financial Model'!S19:V19)</f>
        <v>-9.6279193177188063</v>
      </c>
      <c r="D36" s="87"/>
    </row>
    <row r="37" spans="2:4" x14ac:dyDescent="0.2">
      <c r="B37" s="13" t="s">
        <v>1733</v>
      </c>
      <c r="C37" s="86">
        <f>C12/SUM('Financial Model'!S18:V18)</f>
        <v>-7.2291219302707903</v>
      </c>
      <c r="D37" s="87"/>
    </row>
    <row r="38" spans="2:4" x14ac:dyDescent="0.2">
      <c r="B38" s="13"/>
      <c r="C38" s="46"/>
      <c r="D38" s="47"/>
    </row>
    <row r="39" spans="2:4" x14ac:dyDescent="0.2">
      <c r="B39" s="13"/>
      <c r="C39" s="86"/>
      <c r="D39" s="87"/>
    </row>
    <row r="40" spans="2:4" x14ac:dyDescent="0.2">
      <c r="B40" s="13"/>
      <c r="C40" s="86"/>
      <c r="D40" s="87"/>
    </row>
    <row r="41" spans="2:4" x14ac:dyDescent="0.2">
      <c r="B41" s="14"/>
      <c r="C41" s="88"/>
      <c r="D41" s="89"/>
    </row>
  </sheetData>
  <mergeCells count="24">
    <mergeCell ref="G2:R2"/>
    <mergeCell ref="C17:D17"/>
    <mergeCell ref="C18:D18"/>
    <mergeCell ref="C19:D19"/>
    <mergeCell ref="G5:Q5"/>
    <mergeCell ref="B5:D5"/>
    <mergeCell ref="B15:D15"/>
    <mergeCell ref="C16:D16"/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W83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P26" sqref="P26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107"/>
    <col min="23" max="23" width="10" style="1" bestFit="1" customWidth="1"/>
    <col min="24" max="28" width="9.140625" style="1"/>
    <col min="29" max="29" width="9.140625" style="109"/>
    <col min="30" max="30" width="9.140625" style="52"/>
    <col min="31" max="39" width="9.140625" style="35"/>
    <col min="40" max="40" width="9.140625" style="1"/>
    <col min="41" max="41" width="17.5703125" style="1" bestFit="1" customWidth="1"/>
    <col min="42" max="42" width="10.7109375" style="1" bestFit="1" customWidth="1"/>
    <col min="43" max="16384" width="9.140625" style="1"/>
  </cols>
  <sheetData>
    <row r="1" spans="1:39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101" t="s">
        <v>44</v>
      </c>
      <c r="W1" s="22" t="s">
        <v>1735</v>
      </c>
      <c r="Y1" s="27" t="s">
        <v>45</v>
      </c>
      <c r="Z1" s="27" t="s">
        <v>46</v>
      </c>
      <c r="AA1" s="22" t="s">
        <v>47</v>
      </c>
      <c r="AB1" s="27" t="s">
        <v>48</v>
      </c>
      <c r="AC1" s="120" t="s">
        <v>49</v>
      </c>
      <c r="AD1" s="53" t="s">
        <v>50</v>
      </c>
      <c r="AE1" s="67" t="s">
        <v>51</v>
      </c>
      <c r="AF1" s="67" t="s">
        <v>52</v>
      </c>
      <c r="AG1" s="67" t="s">
        <v>53</v>
      </c>
      <c r="AH1" s="67" t="s">
        <v>54</v>
      </c>
      <c r="AI1" s="67" t="s">
        <v>55</v>
      </c>
      <c r="AJ1" s="67" t="s">
        <v>56</v>
      </c>
      <c r="AK1" s="67" t="s">
        <v>57</v>
      </c>
      <c r="AL1" s="67" t="s">
        <v>58</v>
      </c>
      <c r="AM1" s="67" t="s">
        <v>1724</v>
      </c>
    </row>
    <row r="2" spans="1:39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100">
        <v>110335</v>
      </c>
      <c r="Y2" s="26">
        <v>43465</v>
      </c>
      <c r="Z2" s="26">
        <v>43830</v>
      </c>
      <c r="AA2" s="26">
        <v>44196</v>
      </c>
      <c r="AB2" s="26">
        <v>44561</v>
      </c>
      <c r="AC2" s="129">
        <f>V2</f>
        <v>110335</v>
      </c>
      <c r="AD2" s="54"/>
      <c r="AE2" s="68"/>
      <c r="AF2" s="68"/>
      <c r="AG2" s="68"/>
      <c r="AH2" s="68"/>
      <c r="AI2" s="68"/>
      <c r="AJ2" s="68"/>
      <c r="AK2" s="68"/>
      <c r="AL2" s="68"/>
      <c r="AM2" s="68"/>
    </row>
    <row r="3" spans="1:39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99">
        <v>42036</v>
      </c>
      <c r="Z3" s="25">
        <v>38384</v>
      </c>
      <c r="AB3" s="25">
        <v>39845</v>
      </c>
      <c r="AC3" s="128">
        <f>V3</f>
        <v>42036</v>
      </c>
      <c r="AD3" s="54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102">
        <v>1024.5740000000001</v>
      </c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  <c r="AC4" s="121">
        <f>SUM(S4:V4)</f>
        <v>3826.3210000000004</v>
      </c>
      <c r="AD4" s="59">
        <f>AC4*(1+AD22)</f>
        <v>5165.5333500000006</v>
      </c>
      <c r="AE4" s="69">
        <f>AD4*(1+AE22)</f>
        <v>6715.1933550000012</v>
      </c>
      <c r="AF4" s="69">
        <f>AE4*(1+AF22)</f>
        <v>8595.4474944000012</v>
      </c>
      <c r="AG4" s="69">
        <f>AF4*(1+AG22)</f>
        <v>10314.53699328</v>
      </c>
      <c r="AH4" s="69">
        <f>AG4*(1+AH22)</f>
        <v>11861.717542271999</v>
      </c>
      <c r="AI4" s="69">
        <f>AH4*(1+AI22)</f>
        <v>13640.975173612798</v>
      </c>
      <c r="AJ4" s="69">
        <f>AI4*(1+AJ22)</f>
        <v>15141.482442710207</v>
      </c>
      <c r="AK4" s="69">
        <f>AJ4*(1+AK22)</f>
        <v>16201.386213699921</v>
      </c>
      <c r="AL4" s="69">
        <f>AK4*(1+AL22)</f>
        <v>17335.483248658918</v>
      </c>
      <c r="AM4" s="69">
        <f>AL4*(1+AM22)</f>
        <v>18548.967076065044</v>
      </c>
    </row>
    <row r="5" spans="1:39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103">
        <v>543.43200000000002</v>
      </c>
      <c r="W5" s="2"/>
      <c r="Y5" s="30">
        <v>300.84100000000001</v>
      </c>
      <c r="Z5" s="30">
        <v>525.55100000000004</v>
      </c>
      <c r="AA5" s="30">
        <v>846.11500000000001</v>
      </c>
      <c r="AB5" s="30">
        <v>1451.126</v>
      </c>
      <c r="AC5" s="122">
        <f>SUM(S5:V5)</f>
        <v>2012.7439999999999</v>
      </c>
      <c r="AD5" s="64">
        <f>AD4*AD25</f>
        <v>2582.7666750000003</v>
      </c>
      <c r="AE5" s="36">
        <f>AE4*AE25</f>
        <v>3357.5966775000006</v>
      </c>
      <c r="AF5" s="36">
        <f>AF4*AF25</f>
        <v>4555.587172032001</v>
      </c>
      <c r="AG5" s="36">
        <f>AG4*AG25</f>
        <v>5672.995346304001</v>
      </c>
      <c r="AH5" s="36">
        <f>AH4*AH25</f>
        <v>6523.9446482496005</v>
      </c>
      <c r="AI5" s="36">
        <f>AI4*AI25</f>
        <v>7502.5363454870394</v>
      </c>
      <c r="AJ5" s="36">
        <f>AJ4*AJ25</f>
        <v>8327.8153434906144</v>
      </c>
      <c r="AK5" s="36">
        <f>AK4*AK25</f>
        <v>8910.7624175349574</v>
      </c>
      <c r="AL5" s="36">
        <f>AL4*AL25</f>
        <v>9534.5157867624057</v>
      </c>
      <c r="AM5" s="36">
        <f>AM4*AM25</f>
        <v>10201.931891835775</v>
      </c>
    </row>
    <row r="6" spans="1:39" s="2" customFormat="1" x14ac:dyDescent="0.2">
      <c r="B6" s="2" t="s">
        <v>61</v>
      </c>
      <c r="F6" s="29">
        <f t="shared" ref="F6" si="0">F4-F5</f>
        <v>108.014</v>
      </c>
      <c r="J6" s="29">
        <f t="shared" ref="J6" si="1">J4-J5</f>
        <v>174.69</v>
      </c>
      <c r="M6" s="29">
        <f t="shared" ref="M6" si="2">M4-M5</f>
        <v>230.874</v>
      </c>
      <c r="N6" s="29">
        <f t="shared" ref="N6:U6" si="3">N4-N5</f>
        <v>282.12100000000004</v>
      </c>
      <c r="O6" s="29">
        <f t="shared" si="3"/>
        <v>298.30400000000003</v>
      </c>
      <c r="P6" s="29">
        <f t="shared" si="3"/>
        <v>331.24700000000001</v>
      </c>
      <c r="Q6" s="29">
        <f t="shared" si="3"/>
        <v>364.61500000000007</v>
      </c>
      <c r="R6" s="29">
        <f t="shared" si="3"/>
        <v>396.54700000000003</v>
      </c>
      <c r="S6" s="29">
        <f t="shared" si="3"/>
        <v>425.07100000000008</v>
      </c>
      <c r="T6" s="29">
        <f t="shared" si="3"/>
        <v>445.28900000000004</v>
      </c>
      <c r="U6" s="29">
        <f t="shared" si="3"/>
        <v>462.07499999999993</v>
      </c>
      <c r="V6" s="102">
        <f>V4-V5</f>
        <v>481.14200000000005</v>
      </c>
      <c r="Y6" s="29">
        <f t="shared" ref="Y6:Z6" si="4">Y4-Y5</f>
        <v>349.226</v>
      </c>
      <c r="Z6" s="29">
        <f t="shared" si="4"/>
        <v>608.91700000000003</v>
      </c>
      <c r="AA6" s="29">
        <f>AA4-AA5</f>
        <v>915.66100000000006</v>
      </c>
      <c r="AB6" s="29">
        <f>AB4-AB5</f>
        <v>1390.713</v>
      </c>
      <c r="AC6" s="121">
        <f>AC4-AC5</f>
        <v>1813.5770000000005</v>
      </c>
      <c r="AD6" s="59">
        <f>AD4-AD5</f>
        <v>2582.7666750000003</v>
      </c>
      <c r="AE6" s="69">
        <f t="shared" ref="AE6:AM6" si="5">AE4-AE5</f>
        <v>3357.5966775000006</v>
      </c>
      <c r="AF6" s="69">
        <f t="shared" si="5"/>
        <v>4039.8603223680002</v>
      </c>
      <c r="AG6" s="69">
        <f t="shared" si="5"/>
        <v>4641.5416469759994</v>
      </c>
      <c r="AH6" s="69">
        <f t="shared" si="5"/>
        <v>5337.7728940223988</v>
      </c>
      <c r="AI6" s="69">
        <f t="shared" si="5"/>
        <v>6138.4388281257588</v>
      </c>
      <c r="AJ6" s="69">
        <f t="shared" si="5"/>
        <v>6813.6670992195923</v>
      </c>
      <c r="AK6" s="69">
        <f t="shared" si="5"/>
        <v>7290.623796164964</v>
      </c>
      <c r="AL6" s="69">
        <f t="shared" si="5"/>
        <v>7800.9674618965128</v>
      </c>
      <c r="AM6" s="69">
        <f t="shared" si="5"/>
        <v>8347.0351842292694</v>
      </c>
    </row>
    <row r="7" spans="1:39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103">
        <v>274.09399999999999</v>
      </c>
      <c r="Y7" s="30">
        <v>171.358</v>
      </c>
      <c r="Z7" s="30">
        <v>391.35500000000002</v>
      </c>
      <c r="AA7" s="30">
        <v>530.548</v>
      </c>
      <c r="AB7" s="30">
        <v>789.21900000000005</v>
      </c>
      <c r="AC7" s="122">
        <f t="shared" ref="AC7:AC11" si="6">SUM(S7:V7)</f>
        <v>1079.0809999999999</v>
      </c>
      <c r="AD7" s="64">
        <f>0.28*AD4</f>
        <v>1446.3493380000002</v>
      </c>
      <c r="AE7" s="36">
        <f>0.23*AE4</f>
        <v>1544.4944716500004</v>
      </c>
      <c r="AF7" s="36">
        <f>0.18*AF4</f>
        <v>1547.1805489920002</v>
      </c>
      <c r="AG7" s="36">
        <f>0.13*AG4</f>
        <v>1340.8898091264</v>
      </c>
      <c r="AH7" s="36">
        <f t="shared" ref="AH7:AI7" si="7">0.13*AH4</f>
        <v>1542.02328049536</v>
      </c>
      <c r="AI7" s="36">
        <f t="shared" si="7"/>
        <v>1773.3267725696639</v>
      </c>
      <c r="AJ7" s="36">
        <f>0.08*AJ4</f>
        <v>1211.3185954168166</v>
      </c>
      <c r="AK7" s="36">
        <f t="shared" ref="AK7:AM7" si="8">0.08*AK4</f>
        <v>1296.1108970959938</v>
      </c>
      <c r="AL7" s="36">
        <f t="shared" si="8"/>
        <v>1386.8386598927134</v>
      </c>
      <c r="AM7" s="36">
        <f t="shared" si="8"/>
        <v>1483.9173660852036</v>
      </c>
    </row>
    <row r="8" spans="1:39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103">
        <v>296.33499999999998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  <c r="AC8" s="122">
        <f t="shared" si="6"/>
        <v>1248.0320000000002</v>
      </c>
      <c r="AD8" s="64">
        <f>AD4*0.33</f>
        <v>1704.6260055000002</v>
      </c>
      <c r="AE8" s="36">
        <f t="shared" ref="AE8" si="9">AE4*0.33</f>
        <v>2216.0138071500005</v>
      </c>
      <c r="AF8" s="36">
        <f>AF4*0.25</f>
        <v>2148.8618736000003</v>
      </c>
      <c r="AG8" s="36">
        <f>AG4*0.16</f>
        <v>1650.3259189248001</v>
      </c>
      <c r="AH8" s="36">
        <f t="shared" ref="AH8" si="10">AH4*0.16</f>
        <v>1897.8748067635199</v>
      </c>
      <c r="AI8" s="36">
        <f>AI4*0.1</f>
        <v>1364.0975173612799</v>
      </c>
      <c r="AJ8" s="36">
        <f t="shared" ref="AJ8:AM8" si="11">AJ4*0.1</f>
        <v>1514.1482442710208</v>
      </c>
      <c r="AK8" s="36">
        <f t="shared" si="11"/>
        <v>1620.1386213699923</v>
      </c>
      <c r="AL8" s="36">
        <f t="shared" si="11"/>
        <v>1733.548324865892</v>
      </c>
      <c r="AM8" s="36">
        <f t="shared" si="11"/>
        <v>1854.8967076065046</v>
      </c>
    </row>
    <row r="9" spans="1:39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103">
        <v>125.095</v>
      </c>
      <c r="Y9" s="30">
        <v>117.548</v>
      </c>
      <c r="Z9" s="30">
        <v>218.268</v>
      </c>
      <c r="AA9" s="30">
        <v>310.60700000000003</v>
      </c>
      <c r="AB9" s="30">
        <v>472.46</v>
      </c>
      <c r="AC9" s="122">
        <f t="shared" si="6"/>
        <v>517.41399999999999</v>
      </c>
      <c r="AD9" s="64">
        <f>AD4*0.135</f>
        <v>697.34700225000017</v>
      </c>
      <c r="AE9" s="36">
        <f t="shared" ref="AE9:AM9" si="12">AE4*0.135</f>
        <v>906.55110292500024</v>
      </c>
      <c r="AF9" s="36">
        <f t="shared" si="12"/>
        <v>1160.3854117440003</v>
      </c>
      <c r="AG9" s="36">
        <f t="shared" si="12"/>
        <v>1392.4624940928002</v>
      </c>
      <c r="AH9" s="36">
        <f t="shared" si="12"/>
        <v>1601.3318682067199</v>
      </c>
      <c r="AI9" s="36">
        <f t="shared" si="12"/>
        <v>1841.5316484377279</v>
      </c>
      <c r="AJ9" s="36">
        <f t="shared" si="12"/>
        <v>2044.1001297658781</v>
      </c>
      <c r="AK9" s="36">
        <f t="shared" si="12"/>
        <v>2187.1871388494897</v>
      </c>
      <c r="AL9" s="36">
        <f t="shared" si="12"/>
        <v>2340.290238568954</v>
      </c>
      <c r="AM9" s="36">
        <f t="shared" si="12"/>
        <v>2504.1105552687814</v>
      </c>
    </row>
    <row r="10" spans="1:39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103">
        <v>4.1849999999999996</v>
      </c>
      <c r="Y10" s="30">
        <v>0</v>
      </c>
      <c r="Z10" s="30">
        <v>0</v>
      </c>
      <c r="AA10" s="30">
        <v>0</v>
      </c>
      <c r="AB10" s="30">
        <v>0</v>
      </c>
      <c r="AC10" s="122">
        <f t="shared" si="6"/>
        <v>76.635999999999996</v>
      </c>
      <c r="AD10" s="64">
        <f>AC10*0.05</f>
        <v>3.8317999999999999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</row>
    <row r="11" spans="1:39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103">
        <v>0</v>
      </c>
      <c r="Y11" s="30">
        <v>0</v>
      </c>
      <c r="Z11" s="30">
        <v>0</v>
      </c>
      <c r="AA11" s="30">
        <v>0</v>
      </c>
      <c r="AB11" s="30">
        <v>0</v>
      </c>
      <c r="AC11" s="122">
        <f t="shared" si="6"/>
        <v>97.721999999999994</v>
      </c>
      <c r="AD11" s="64">
        <f t="shared" ref="AD11" si="13">AC11*0.05</f>
        <v>4.8860999999999999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</row>
    <row r="12" spans="1:39" x14ac:dyDescent="0.2">
      <c r="B12" s="1" t="s">
        <v>65</v>
      </c>
      <c r="F12" s="30">
        <f t="shared" ref="F12" si="14">SUM(F7:F11)</f>
        <v>152.001</v>
      </c>
      <c r="J12" s="30">
        <f>SUM(J7:J11)</f>
        <v>268.48899999999998</v>
      </c>
      <c r="M12" s="30">
        <f t="shared" ref="M12:U12" si="15">SUM(M7:M11)</f>
        <v>343.14400000000001</v>
      </c>
      <c r="N12" s="30">
        <f t="shared" si="15"/>
        <v>467.41199999999992</v>
      </c>
      <c r="O12" s="30">
        <f t="shared" si="15"/>
        <v>495.64299999999997</v>
      </c>
      <c r="P12" s="30">
        <f t="shared" si="15"/>
        <v>533.52099999999996</v>
      </c>
      <c r="Q12" s="30">
        <f t="shared" si="15"/>
        <v>596.96</v>
      </c>
      <c r="R12" s="30">
        <f t="shared" si="15"/>
        <v>680.173</v>
      </c>
      <c r="S12" s="30">
        <f t="shared" si="15"/>
        <v>642.87900000000002</v>
      </c>
      <c r="T12" s="30">
        <f t="shared" si="15"/>
        <v>757.22500000000002</v>
      </c>
      <c r="U12" s="30">
        <f t="shared" si="15"/>
        <v>919.072</v>
      </c>
      <c r="V12" s="103">
        <f>SUM(V7:V11)</f>
        <v>699.70899999999995</v>
      </c>
      <c r="Y12" s="30">
        <f t="shared" ref="Y12" si="16">SUM(Y7:Y11)</f>
        <v>464.46100000000001</v>
      </c>
      <c r="Z12" s="30">
        <f t="shared" ref="Z12" si="17">SUM(Z7:Z11)</f>
        <v>978.702</v>
      </c>
      <c r="AA12" s="30">
        <f t="shared" ref="AA12" si="18">SUM(AA7:AA11)</f>
        <v>1408.5619999999999</v>
      </c>
      <c r="AB12" s="30">
        <f t="shared" ref="AB12:AM12" si="19">SUM(AB7:AB11)</f>
        <v>2306.297</v>
      </c>
      <c r="AC12" s="122">
        <f>SUM(AC7:AC11)</f>
        <v>3018.8850000000002</v>
      </c>
      <c r="AD12" s="64">
        <f t="shared" si="19"/>
        <v>3857.0402457500004</v>
      </c>
      <c r="AE12" s="30">
        <f t="shared" si="19"/>
        <v>4667.059381725001</v>
      </c>
      <c r="AF12" s="30">
        <f t="shared" si="19"/>
        <v>4856.4278343360011</v>
      </c>
      <c r="AG12" s="30">
        <f t="shared" si="19"/>
        <v>4383.6782221440008</v>
      </c>
      <c r="AH12" s="30">
        <f t="shared" si="19"/>
        <v>5041.2299554656001</v>
      </c>
      <c r="AI12" s="30">
        <f t="shared" si="19"/>
        <v>4978.9559383686719</v>
      </c>
      <c r="AJ12" s="30">
        <f t="shared" si="19"/>
        <v>4769.5669694537155</v>
      </c>
      <c r="AK12" s="30">
        <f t="shared" si="19"/>
        <v>5103.4366573154757</v>
      </c>
      <c r="AL12" s="30">
        <f t="shared" si="19"/>
        <v>5460.6772233275597</v>
      </c>
      <c r="AM12" s="30">
        <f t="shared" si="19"/>
        <v>5842.9246289604898</v>
      </c>
    </row>
    <row r="13" spans="1:39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V13" si="20">M6-M12</f>
        <v>-112.27000000000001</v>
      </c>
      <c r="N13" s="29">
        <f t="shared" si="20"/>
        <v>-185.29099999999988</v>
      </c>
      <c r="O13" s="29">
        <f t="shared" si="20"/>
        <v>-197.33899999999994</v>
      </c>
      <c r="P13" s="29">
        <f t="shared" si="20"/>
        <v>-202.27399999999994</v>
      </c>
      <c r="Q13" s="29">
        <f t="shared" si="20"/>
        <v>-232.34499999999997</v>
      </c>
      <c r="R13" s="29">
        <f t="shared" si="20"/>
        <v>-283.62599999999998</v>
      </c>
      <c r="S13" s="29">
        <f t="shared" si="20"/>
        <v>-217.80799999999994</v>
      </c>
      <c r="T13" s="29">
        <f t="shared" si="20"/>
        <v>-311.93599999999998</v>
      </c>
      <c r="U13" s="29">
        <f t="shared" si="20"/>
        <v>-456.99700000000007</v>
      </c>
      <c r="V13" s="102">
        <f t="shared" si="20"/>
        <v>-218.56699999999989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  <c r="AC13" s="102">
        <f t="shared" ref="AC13:AM13" si="21">AC6-AC12</f>
        <v>-1205.3079999999998</v>
      </c>
      <c r="AD13" s="59">
        <f t="shared" si="21"/>
        <v>-1274.2735707500001</v>
      </c>
      <c r="AE13" s="69">
        <f t="shared" si="21"/>
        <v>-1309.4627042250004</v>
      </c>
      <c r="AF13" s="69">
        <f t="shared" si="21"/>
        <v>-816.56751196800087</v>
      </c>
      <c r="AG13" s="69">
        <f t="shared" si="21"/>
        <v>257.8634248319986</v>
      </c>
      <c r="AH13" s="69">
        <f t="shared" si="21"/>
        <v>296.54293855679862</v>
      </c>
      <c r="AI13" s="69">
        <f t="shared" si="21"/>
        <v>1159.4828897570869</v>
      </c>
      <c r="AJ13" s="69">
        <f t="shared" si="21"/>
        <v>2044.1001297658768</v>
      </c>
      <c r="AK13" s="69">
        <f t="shared" si="21"/>
        <v>2187.1871388494883</v>
      </c>
      <c r="AL13" s="69">
        <f t="shared" si="21"/>
        <v>2340.2902385689531</v>
      </c>
      <c r="AM13" s="69">
        <f t="shared" si="21"/>
        <v>2504.1105552687795</v>
      </c>
    </row>
    <row r="14" spans="1:39" x14ac:dyDescent="0.2">
      <c r="B14" s="1" t="s">
        <v>1734</v>
      </c>
      <c r="F14" s="30">
        <v>0</v>
      </c>
      <c r="J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13.375999999999999</v>
      </c>
      <c r="V14" s="103">
        <v>21.939</v>
      </c>
      <c r="W14" s="30"/>
      <c r="Y14" s="30">
        <v>0</v>
      </c>
      <c r="Z14" s="30">
        <v>0</v>
      </c>
      <c r="AA14" s="30">
        <v>0</v>
      </c>
      <c r="AB14" s="30">
        <v>0</v>
      </c>
      <c r="AC14" s="131">
        <f>SUM(S14:V14)</f>
        <v>35.314999999999998</v>
      </c>
      <c r="AD14" s="64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</row>
    <row r="15" spans="1:39" x14ac:dyDescent="0.2">
      <c r="B15" s="1" t="s">
        <v>67</v>
      </c>
      <c r="F15" s="30">
        <v>2.7509999999999999</v>
      </c>
      <c r="J15" s="30">
        <v>-4.7080000000000002</v>
      </c>
      <c r="M15" s="30">
        <v>3.996</v>
      </c>
      <c r="N15" s="30">
        <v>9.4260000000000002</v>
      </c>
      <c r="O15" s="30">
        <v>8.3130000000000006</v>
      </c>
      <c r="P15" s="30">
        <v>24.292999999999999</v>
      </c>
      <c r="Q15" s="30">
        <v>6.6130000000000004</v>
      </c>
      <c r="R15" s="30">
        <v>6.1260000000000003</v>
      </c>
      <c r="S15" s="30">
        <v>6.6769999999999996</v>
      </c>
      <c r="T15" s="30">
        <v>8.2390000000000008</v>
      </c>
      <c r="U15" s="30">
        <v>8.3740000000000006</v>
      </c>
      <c r="V15" s="103">
        <v>-20.280999999999999</v>
      </c>
      <c r="W15" s="30"/>
      <c r="Y15" s="30">
        <v>5.923</v>
      </c>
      <c r="Z15" s="30">
        <v>-7.569</v>
      </c>
      <c r="AA15" s="30">
        <v>11.525</v>
      </c>
      <c r="AB15" s="30">
        <v>45.344999999999999</v>
      </c>
      <c r="AC15" s="132">
        <f>SUM(S15:V15)</f>
        <v>3.0090000000000003</v>
      </c>
      <c r="AD15" s="64">
        <f>AVERAGE(Y15:AC15)</f>
        <v>11.646600000000001</v>
      </c>
      <c r="AE15" s="36">
        <f>AD15*0.15</f>
        <v>1.74699</v>
      </c>
      <c r="AF15" s="36">
        <f t="shared" ref="AF15" si="22">AE15*0.15</f>
        <v>0.26204850000000002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</row>
    <row r="16" spans="1:39" x14ac:dyDescent="0.2">
      <c r="B16" s="1" t="s">
        <v>76</v>
      </c>
      <c r="F16" s="30">
        <f>F13-F15</f>
        <v>-46.738000000000007</v>
      </c>
      <c r="J16" s="30">
        <f>J13-J15</f>
        <v>-89.09099999999998</v>
      </c>
      <c r="M16" s="30">
        <f>M13-M15</f>
        <v>-116.26600000000001</v>
      </c>
      <c r="N16" s="30">
        <f>N13-N15</f>
        <v>-194.71699999999987</v>
      </c>
      <c r="O16" s="30">
        <f>O13-O15</f>
        <v>-205.65199999999993</v>
      </c>
      <c r="P16" s="30">
        <f>P13-P15</f>
        <v>-226.56699999999995</v>
      </c>
      <c r="Q16" s="30">
        <f>Q13-Q15</f>
        <v>-238.95799999999997</v>
      </c>
      <c r="R16" s="30">
        <f>R13-R15</f>
        <v>-289.75199999999995</v>
      </c>
      <c r="S16" s="30">
        <f>S13-S15</f>
        <v>-224.48499999999993</v>
      </c>
      <c r="T16" s="30">
        <f>T13-T15</f>
        <v>-320.17499999999995</v>
      </c>
      <c r="U16" s="103">
        <f>U13-U14-U15</f>
        <v>-478.74700000000007</v>
      </c>
      <c r="V16" s="103">
        <f>V13-V14-V15</f>
        <v>-220.22499999999988</v>
      </c>
      <c r="W16" s="30"/>
      <c r="Y16" s="30">
        <f>Y13-Y15</f>
        <v>-121.15800000000002</v>
      </c>
      <c r="Z16" s="30">
        <f>Z13-Z15</f>
        <v>-362.21599999999995</v>
      </c>
      <c r="AA16" s="30">
        <f>AA13-AA15</f>
        <v>-504.42599999999982</v>
      </c>
      <c r="AB16" s="30">
        <f>AB13-AB15</f>
        <v>-960.92900000000009</v>
      </c>
      <c r="AC16" s="103">
        <f>AC13-SUM(AC14:AC15)</f>
        <v>-1243.6319999999998</v>
      </c>
      <c r="AD16" s="64">
        <f>AD13-AD15</f>
        <v>-1285.9201707500001</v>
      </c>
      <c r="AE16" s="30">
        <f>AE13-AE15</f>
        <v>-1311.2096942250005</v>
      </c>
      <c r="AF16" s="30">
        <f>AF13-AF15</f>
        <v>-816.82956046800086</v>
      </c>
      <c r="AG16" s="30">
        <f>AG13-AG15</f>
        <v>257.8634248319986</v>
      </c>
      <c r="AH16" s="30">
        <f>AH13-AH15</f>
        <v>296.54293855679862</v>
      </c>
      <c r="AI16" s="30">
        <f>AI13-AI15</f>
        <v>1159.4828897570869</v>
      </c>
      <c r="AJ16" s="30">
        <f>AJ13-AJ15</f>
        <v>2044.1001297658768</v>
      </c>
      <c r="AK16" s="30">
        <f>AK13-AK15</f>
        <v>2187.1871388494883</v>
      </c>
      <c r="AL16" s="30">
        <f>AL13-AL15</f>
        <v>2340.2902385689531</v>
      </c>
      <c r="AM16" s="30">
        <f>AM13-AM15</f>
        <v>2504.1105552687795</v>
      </c>
    </row>
    <row r="17" spans="2:75" x14ac:dyDescent="0.2">
      <c r="B17" s="1" t="s">
        <v>68</v>
      </c>
      <c r="F17" s="30">
        <v>0.42</v>
      </c>
      <c r="J17" s="30">
        <v>1.1559999999999999</v>
      </c>
      <c r="M17" s="30">
        <v>0.64800000000000002</v>
      </c>
      <c r="N17" s="30">
        <v>-15.366</v>
      </c>
      <c r="O17" s="30">
        <v>0.89</v>
      </c>
      <c r="P17" s="30">
        <v>1.286</v>
      </c>
      <c r="Q17" s="30">
        <v>-14.849</v>
      </c>
      <c r="R17" s="30">
        <v>1.6439999999999999</v>
      </c>
      <c r="S17" s="30">
        <v>-2.8580000000000001</v>
      </c>
      <c r="T17" s="30">
        <v>2.5939999999999999</v>
      </c>
      <c r="U17" s="30">
        <v>3.58</v>
      </c>
      <c r="V17" s="103">
        <v>9.1969999999999992</v>
      </c>
      <c r="W17" s="30"/>
      <c r="Y17" s="30">
        <v>0.79100000000000004</v>
      </c>
      <c r="Z17" s="30">
        <v>-55.152999999999999</v>
      </c>
      <c r="AA17" s="30">
        <v>-13.446999999999999</v>
      </c>
      <c r="AB17" s="30">
        <v>-11.029</v>
      </c>
      <c r="AC17" s="122">
        <f>SUM(S17:V17)</f>
        <v>12.512999999999998</v>
      </c>
      <c r="AD17" s="64">
        <f>AD16*AD28</f>
        <v>-19.288802561250002</v>
      </c>
      <c r="AE17" s="36">
        <f t="shared" ref="AE17:AM17" si="23">AE16*AE28</f>
        <v>-19.668145413375008</v>
      </c>
      <c r="AF17" s="36">
        <f t="shared" si="23"/>
        <v>-12.252443407020012</v>
      </c>
      <c r="AG17" s="36">
        <f t="shared" si="23"/>
        <v>7.735902744959958</v>
      </c>
      <c r="AH17" s="36">
        <f t="shared" si="23"/>
        <v>14.827146927839932</v>
      </c>
      <c r="AI17" s="36">
        <f t="shared" si="23"/>
        <v>57.974144487854346</v>
      </c>
      <c r="AJ17" s="36">
        <f t="shared" si="23"/>
        <v>102.20500648829385</v>
      </c>
      <c r="AK17" s="36">
        <f t="shared" si="23"/>
        <v>109.35935694247442</v>
      </c>
      <c r="AL17" s="36">
        <f t="shared" si="23"/>
        <v>117.01451192844766</v>
      </c>
      <c r="AM17" s="36">
        <f t="shared" si="23"/>
        <v>125.20552776343898</v>
      </c>
    </row>
    <row r="18" spans="2:75" s="2" customFormat="1" x14ac:dyDescent="0.2">
      <c r="B18" s="2" t="s">
        <v>70</v>
      </c>
      <c r="F18" s="29">
        <f t="shared" ref="F18" si="24">F16-F17</f>
        <v>-47.158000000000008</v>
      </c>
      <c r="J18" s="29">
        <f t="shared" ref="J18" si="25">J16-J17</f>
        <v>-90.246999999999986</v>
      </c>
      <c r="M18" s="29">
        <f t="shared" ref="M18" si="26">M16-M17</f>
        <v>-116.914</v>
      </c>
      <c r="N18" s="29">
        <f t="shared" ref="N18" si="27">N16-N17</f>
        <v>-179.35099999999989</v>
      </c>
      <c r="O18" s="29">
        <f>O16-O17</f>
        <v>-206.54199999999992</v>
      </c>
      <c r="P18" s="29">
        <f>P16-P17</f>
        <v>-227.85299999999995</v>
      </c>
      <c r="Q18" s="29">
        <f t="shared" ref="Q18" si="28">Q16-Q17</f>
        <v>-224.10899999999998</v>
      </c>
      <c r="R18" s="29">
        <f>R16-R17</f>
        <v>-291.39599999999996</v>
      </c>
      <c r="S18" s="29">
        <f>S16-S17</f>
        <v>-221.62699999999992</v>
      </c>
      <c r="T18" s="29">
        <f>T16-T17</f>
        <v>-322.76899999999995</v>
      </c>
      <c r="U18" s="29">
        <f>U16-U17</f>
        <v>-482.32700000000006</v>
      </c>
      <c r="V18" s="102">
        <f>V16-V17</f>
        <v>-229.42199999999988</v>
      </c>
      <c r="Y18" s="29">
        <f t="shared" ref="Y18:Z18" si="29">Y16-Y17</f>
        <v>-121.94900000000001</v>
      </c>
      <c r="Z18" s="29">
        <f t="shared" si="29"/>
        <v>-307.06299999999993</v>
      </c>
      <c r="AA18" s="29">
        <f>AA16-AA17</f>
        <v>-490.97899999999981</v>
      </c>
      <c r="AB18" s="29">
        <f>AB16-AB17</f>
        <v>-949.90000000000009</v>
      </c>
      <c r="AC18" s="121">
        <f>AC16-AC17</f>
        <v>-1256.1449999999998</v>
      </c>
      <c r="AD18" s="59">
        <f t="shared" ref="AD18:AM18" si="30">AD16-AD17</f>
        <v>-1266.6313681887502</v>
      </c>
      <c r="AE18" s="29">
        <f t="shared" si="30"/>
        <v>-1291.5415488116255</v>
      </c>
      <c r="AF18" s="29">
        <f t="shared" si="30"/>
        <v>-804.57711706098087</v>
      </c>
      <c r="AG18" s="29">
        <f t="shared" si="30"/>
        <v>250.12752208703864</v>
      </c>
      <c r="AH18" s="29">
        <f t="shared" si="30"/>
        <v>281.7157916289587</v>
      </c>
      <c r="AI18" s="29">
        <f t="shared" si="30"/>
        <v>1101.5087452692326</v>
      </c>
      <c r="AJ18" s="29">
        <f t="shared" si="30"/>
        <v>1941.895123277583</v>
      </c>
      <c r="AK18" s="29">
        <f t="shared" si="30"/>
        <v>2077.827781907014</v>
      </c>
      <c r="AL18" s="29">
        <f t="shared" si="30"/>
        <v>2223.2757266405056</v>
      </c>
      <c r="AM18" s="29">
        <f t="shared" si="30"/>
        <v>2378.9050275053405</v>
      </c>
      <c r="AN18" s="30">
        <f>AM18*(1+$AP$25)</f>
        <v>2331.3269269552338</v>
      </c>
      <c r="AO18" s="30">
        <f t="shared" ref="AO18:BW18" si="31">AN18*(1+$AP$25)</f>
        <v>2284.700388416129</v>
      </c>
      <c r="AP18" s="30">
        <f t="shared" si="31"/>
        <v>2239.0063806478065</v>
      </c>
      <c r="AQ18" s="30">
        <f t="shared" si="31"/>
        <v>2194.2262530348503</v>
      </c>
      <c r="AR18" s="30">
        <f t="shared" si="31"/>
        <v>2150.3417279741534</v>
      </c>
      <c r="AS18" s="30">
        <f t="shared" si="31"/>
        <v>2107.3348934146702</v>
      </c>
      <c r="AT18" s="30">
        <f t="shared" si="31"/>
        <v>2065.1881955463768</v>
      </c>
      <c r="AU18" s="30">
        <f t="shared" si="31"/>
        <v>2023.8844316354493</v>
      </c>
      <c r="AV18" s="30">
        <f t="shared" si="31"/>
        <v>1983.4067430027403</v>
      </c>
      <c r="AW18" s="30">
        <f t="shared" si="31"/>
        <v>1943.7386081426855</v>
      </c>
      <c r="AX18" s="30">
        <f t="shared" si="31"/>
        <v>1904.8638359798317</v>
      </c>
      <c r="AY18" s="30">
        <f t="shared" si="31"/>
        <v>1866.766559260235</v>
      </c>
      <c r="AZ18" s="30">
        <f t="shared" si="31"/>
        <v>1829.4312280750303</v>
      </c>
      <c r="BA18" s="30">
        <f t="shared" si="31"/>
        <v>1792.8426035135296</v>
      </c>
      <c r="BB18" s="30">
        <f t="shared" si="31"/>
        <v>1756.985751443259</v>
      </c>
      <c r="BC18" s="30">
        <f t="shared" si="31"/>
        <v>1721.8460364143939</v>
      </c>
      <c r="BD18" s="30">
        <f t="shared" si="31"/>
        <v>1687.4091156861059</v>
      </c>
      <c r="BE18" s="30">
        <f t="shared" si="31"/>
        <v>1653.6609333723839</v>
      </c>
      <c r="BF18" s="30">
        <f t="shared" si="31"/>
        <v>1620.5877147049362</v>
      </c>
      <c r="BG18" s="30">
        <f t="shared" si="31"/>
        <v>1588.1759604108374</v>
      </c>
      <c r="BH18" s="30">
        <f t="shared" si="31"/>
        <v>1556.4124412026206</v>
      </c>
      <c r="BI18" s="30">
        <f t="shared" si="31"/>
        <v>1525.2841923785682</v>
      </c>
      <c r="BJ18" s="30">
        <f t="shared" si="31"/>
        <v>1494.7785085309968</v>
      </c>
      <c r="BK18" s="30">
        <f t="shared" si="31"/>
        <v>1464.8829383603768</v>
      </c>
      <c r="BL18" s="30">
        <f t="shared" si="31"/>
        <v>1435.5852795931692</v>
      </c>
      <c r="BM18" s="30">
        <f t="shared" si="31"/>
        <v>1406.8735740013058</v>
      </c>
      <c r="BN18" s="30">
        <f t="shared" si="31"/>
        <v>1378.7361025212797</v>
      </c>
      <c r="BO18" s="30">
        <f t="shared" si="31"/>
        <v>1351.1613804708541</v>
      </c>
      <c r="BP18" s="30">
        <f t="shared" si="31"/>
        <v>1324.138152861437</v>
      </c>
      <c r="BQ18" s="30">
        <f t="shared" si="31"/>
        <v>1297.6553898042082</v>
      </c>
      <c r="BR18" s="30">
        <f t="shared" si="31"/>
        <v>1271.702282008124</v>
      </c>
      <c r="BS18" s="30">
        <f t="shared" si="31"/>
        <v>1246.2682363679614</v>
      </c>
      <c r="BT18" s="30">
        <f t="shared" si="31"/>
        <v>1221.3428716406022</v>
      </c>
      <c r="BU18" s="30">
        <f t="shared" si="31"/>
        <v>1196.9160142077901</v>
      </c>
      <c r="BV18" s="30">
        <f t="shared" si="31"/>
        <v>1172.9776939236342</v>
      </c>
      <c r="BW18" s="30">
        <f t="shared" si="31"/>
        <v>1149.5181400451615</v>
      </c>
    </row>
    <row r="19" spans="2:75" x14ac:dyDescent="0.2">
      <c r="B19" s="1" t="s">
        <v>69</v>
      </c>
      <c r="F19" s="28">
        <f t="shared" ref="F19" si="32">F18/F20</f>
        <v>-0.47434110160515558</v>
      </c>
      <c r="J19" s="28">
        <f t="shared" ref="J19" si="33">J18/J20</f>
        <v>-0.65525253589708876</v>
      </c>
      <c r="M19" s="28">
        <f t="shared" ref="M19:U19" si="34">M18/M20</f>
        <v>-0.79263151132966325</v>
      </c>
      <c r="N19" s="28">
        <f t="shared" si="34"/>
        <v>-1.1323903265248076</v>
      </c>
      <c r="O19" s="28">
        <f t="shared" si="34"/>
        <v>-1.2355912544819656</v>
      </c>
      <c r="P19" s="28">
        <f t="shared" si="34"/>
        <v>-1.3139765974420505</v>
      </c>
      <c r="Q19" s="28">
        <f t="shared" si="34"/>
        <v>-1.2645002263567628</v>
      </c>
      <c r="R19" s="28">
        <f t="shared" si="34"/>
        <v>-1.628504773126946</v>
      </c>
      <c r="S19" s="28">
        <f t="shared" si="34"/>
        <v>-1.2251441501410789</v>
      </c>
      <c r="T19" s="28">
        <f t="shared" si="34"/>
        <v>-1.7700728317826633</v>
      </c>
      <c r="U19" s="28">
        <f t="shared" si="34"/>
        <v>-2.6257295858747991</v>
      </c>
      <c r="V19" s="104">
        <f>V18/V20</f>
        <v>-1.2393103392617855</v>
      </c>
      <c r="Y19" s="44">
        <f t="shared" ref="Y19:Z19" si="35">Y18/Y20</f>
        <v>-1.2555191431999431</v>
      </c>
      <c r="Z19" s="44">
        <f t="shared" si="35"/>
        <v>-2.3605151435337697</v>
      </c>
      <c r="AA19" s="44">
        <f>AA18/AA20</f>
        <v>-3.3466258226346173</v>
      </c>
      <c r="AB19" s="44">
        <f>AB18/AB20</f>
        <v>-5.4535392358724044</v>
      </c>
      <c r="AC19" s="123">
        <f>AC18/AC20</f>
        <v>-6.8636192082455194</v>
      </c>
      <c r="AD19" s="65">
        <f t="shared" ref="AD19:AM19" si="36">AD18/AD20</f>
        <v>-6.9209170823962278</v>
      </c>
      <c r="AE19" s="44">
        <f t="shared" si="36"/>
        <v>-7.0570271606149308</v>
      </c>
      <c r="AF19" s="44">
        <f t="shared" si="36"/>
        <v>-4.3962368637176068</v>
      </c>
      <c r="AG19" s="44">
        <f t="shared" si="36"/>
        <v>1.3667053286901227</v>
      </c>
      <c r="AH19" s="44">
        <f t="shared" si="36"/>
        <v>1.5393047129834641</v>
      </c>
      <c r="AI19" s="44">
        <f t="shared" si="36"/>
        <v>6.0186814277653671</v>
      </c>
      <c r="AJ19" s="44">
        <f t="shared" si="36"/>
        <v>10.610581317066359</v>
      </c>
      <c r="AK19" s="44">
        <f t="shared" si="36"/>
        <v>11.353322009261005</v>
      </c>
      <c r="AL19" s="44">
        <f t="shared" si="36"/>
        <v>12.148054549909279</v>
      </c>
      <c r="AM19" s="44">
        <f t="shared" si="36"/>
        <v>12.998418368402925</v>
      </c>
    </row>
    <row r="20" spans="2:75" x14ac:dyDescent="0.2">
      <c r="B20" s="1" t="s">
        <v>4</v>
      </c>
      <c r="F20" s="44">
        <v>99.417907999999997</v>
      </c>
      <c r="G20" s="44"/>
      <c r="H20" s="44"/>
      <c r="I20" s="44"/>
      <c r="J20" s="44">
        <v>137.728578</v>
      </c>
      <c r="M20" s="44">
        <v>147.50107499999999</v>
      </c>
      <c r="N20" s="44">
        <v>158.382667</v>
      </c>
      <c r="O20" s="28">
        <v>167.16045800000001</v>
      </c>
      <c r="P20" s="28">
        <v>173.40719799999999</v>
      </c>
      <c r="Q20" s="44">
        <v>177.23128500000001</v>
      </c>
      <c r="R20" s="28">
        <v>178.93469200000001</v>
      </c>
      <c r="S20" s="28">
        <v>180.89871299999999</v>
      </c>
      <c r="T20" s="28">
        <v>182.34786399999999</v>
      </c>
      <c r="U20" s="28">
        <v>183.692564</v>
      </c>
      <c r="V20" s="105">
        <v>185.12070199999999</v>
      </c>
      <c r="Y20" s="44">
        <v>97.130339000000006</v>
      </c>
      <c r="Z20" s="44">
        <v>130.083046</v>
      </c>
      <c r="AA20" s="44">
        <v>146.708663</v>
      </c>
      <c r="AB20" s="44">
        <v>174.180465</v>
      </c>
      <c r="AC20" s="122">
        <f>AVERAGE(S20:V20)</f>
        <v>183.01496075</v>
      </c>
      <c r="AD20" s="64">
        <f>AC20</f>
        <v>183.01496075</v>
      </c>
      <c r="AE20" s="36">
        <f t="shared" ref="AE20:AM20" si="37">AD20</f>
        <v>183.01496075</v>
      </c>
      <c r="AF20" s="36">
        <f t="shared" si="37"/>
        <v>183.01496075</v>
      </c>
      <c r="AG20" s="36">
        <f t="shared" si="37"/>
        <v>183.01496075</v>
      </c>
      <c r="AH20" s="36">
        <f t="shared" si="37"/>
        <v>183.01496075</v>
      </c>
      <c r="AI20" s="36">
        <f t="shared" si="37"/>
        <v>183.01496075</v>
      </c>
      <c r="AJ20" s="36">
        <f t="shared" si="37"/>
        <v>183.01496075</v>
      </c>
      <c r="AK20" s="36">
        <f t="shared" si="37"/>
        <v>183.01496075</v>
      </c>
      <c r="AL20" s="36">
        <f t="shared" si="37"/>
        <v>183.01496075</v>
      </c>
      <c r="AM20" s="36">
        <f t="shared" si="37"/>
        <v>183.01496075</v>
      </c>
    </row>
    <row r="22" spans="2:75" s="2" customFormat="1" x14ac:dyDescent="0.2">
      <c r="B22" s="2" t="s">
        <v>71</v>
      </c>
      <c r="J22" s="32">
        <f>J4/F4-1</f>
        <v>0.62124697751368063</v>
      </c>
      <c r="N22" s="32">
        <f>N4/J4-1</f>
        <v>0.65474120232833388</v>
      </c>
      <c r="Q22" s="32">
        <f>Q4/M4-1</f>
        <v>0.65229290419649577</v>
      </c>
      <c r="R22" s="32">
        <f>R4/N4-1</f>
        <v>0.53760148880658276</v>
      </c>
      <c r="S22" s="32">
        <f>S4/O4-1</f>
        <v>0.4836962785683776</v>
      </c>
      <c r="T22" s="32">
        <f>T4/P4-1</f>
        <v>0.41024111604933844</v>
      </c>
      <c r="U22" s="32">
        <f>U4/Q4-1</f>
        <v>0.32810304576208882</v>
      </c>
      <c r="V22" s="32">
        <f>V4/R4-1</f>
        <v>0.21575947144091212</v>
      </c>
      <c r="Z22" s="32">
        <f>Z4/Y4-1</f>
        <v>0.74515549935622039</v>
      </c>
      <c r="AA22" s="32">
        <f>AA4/Z4-1</f>
        <v>0.55295345483521796</v>
      </c>
      <c r="AB22" s="32">
        <f>AB4/AA4-1</f>
        <v>0.613053532344634</v>
      </c>
      <c r="AC22" s="124">
        <f>AC4/AB4-1</f>
        <v>0.34642426963666861</v>
      </c>
      <c r="AD22" s="60">
        <v>0.35</v>
      </c>
      <c r="AE22" s="71">
        <v>0.3</v>
      </c>
      <c r="AF22" s="71">
        <v>0.28000000000000003</v>
      </c>
      <c r="AG22" s="71">
        <v>0.2</v>
      </c>
      <c r="AH22" s="71">
        <v>0.15</v>
      </c>
      <c r="AI22" s="71">
        <v>0.15</v>
      </c>
      <c r="AJ22" s="71">
        <v>0.11</v>
      </c>
      <c r="AK22" s="71">
        <v>7.0000000000000007E-2</v>
      </c>
      <c r="AL22" s="71">
        <v>7.0000000000000007E-2</v>
      </c>
      <c r="AM22" s="71">
        <v>7.0000000000000007E-2</v>
      </c>
    </row>
    <row r="23" spans="2:75" x14ac:dyDescent="0.2">
      <c r="B23" s="1" t="s">
        <v>72</v>
      </c>
      <c r="N23" s="31">
        <f>N4/M4-1</f>
        <v>0.22349984039074133</v>
      </c>
      <c r="O23" s="31">
        <f>O4/N4-1</f>
        <v>7.6443649765549404E-2</v>
      </c>
      <c r="P23" s="31">
        <f>P4/O4-1</f>
        <v>0.13380441636101059</v>
      </c>
      <c r="Q23" s="31">
        <f>Q4/P4-1</f>
        <v>0.10650575320922484</v>
      </c>
      <c r="R23" s="31">
        <f>R4/Q4-1</f>
        <v>0.13857244763407617</v>
      </c>
      <c r="S23" s="31">
        <f>S4/R4-1</f>
        <v>3.8705704223346515E-2</v>
      </c>
      <c r="T23" s="31">
        <f>T4/S4-1</f>
        <v>7.7671777308385259E-2</v>
      </c>
      <c r="U23" s="31">
        <f>U4/T4-1</f>
        <v>4.2058442535887863E-2</v>
      </c>
      <c r="V23" s="106">
        <f>U23</f>
        <v>4.2058442535887863E-2</v>
      </c>
      <c r="Y23" s="45" t="s">
        <v>1715</v>
      </c>
      <c r="Z23" s="45" t="s">
        <v>1715</v>
      </c>
      <c r="AA23" s="45" t="s">
        <v>1715</v>
      </c>
      <c r="AB23" s="45" t="s">
        <v>1715</v>
      </c>
      <c r="AC23" s="125" t="s">
        <v>1715</v>
      </c>
      <c r="AD23" s="66" t="s">
        <v>1715</v>
      </c>
      <c r="AE23" s="72" t="s">
        <v>1715</v>
      </c>
      <c r="AF23" s="72" t="s">
        <v>1715</v>
      </c>
      <c r="AG23" s="72" t="s">
        <v>1715</v>
      </c>
      <c r="AH23" s="72" t="s">
        <v>1715</v>
      </c>
      <c r="AI23" s="72" t="s">
        <v>1715</v>
      </c>
      <c r="AJ23" s="72" t="s">
        <v>1715</v>
      </c>
      <c r="AK23" s="72" t="s">
        <v>1715</v>
      </c>
      <c r="AL23" s="72" t="s">
        <v>1715</v>
      </c>
      <c r="AM23" s="72" t="s">
        <v>1715</v>
      </c>
    </row>
    <row r="25" spans="2:75" x14ac:dyDescent="0.2">
      <c r="B25" s="1" t="s">
        <v>73</v>
      </c>
      <c r="F25" s="31">
        <f>F6/F4</f>
        <v>0.52869771221035522</v>
      </c>
      <c r="J25" s="31">
        <f>J6/J4</f>
        <v>0.52740743424389536</v>
      </c>
      <c r="M25" s="31">
        <f>M6/M4</f>
        <v>0.51537941241469831</v>
      </c>
      <c r="N25" s="31">
        <f>N6/N4</f>
        <v>0.51473480632742796</v>
      </c>
      <c r="O25" s="31">
        <f>O6/O4</f>
        <v>0.50561028359898841</v>
      </c>
      <c r="P25" s="31">
        <f>P6/P4</f>
        <v>0.49518859194745046</v>
      </c>
      <c r="Q25" s="31">
        <f>Q6/Q4</f>
        <v>0.49260581267158088</v>
      </c>
      <c r="R25" s="31">
        <f>R6/R4</f>
        <v>0.47054265589550326</v>
      </c>
      <c r="S25" s="31">
        <f>S6/S4</f>
        <v>0.48559397644177338</v>
      </c>
      <c r="T25" s="31">
        <f>T6/T4</f>
        <v>0.47202746794946543</v>
      </c>
      <c r="U25" s="31">
        <f>U6/U4</f>
        <v>0.47005177868427206</v>
      </c>
      <c r="V25" s="106">
        <f>U25</f>
        <v>0.47005177868427206</v>
      </c>
      <c r="Y25" s="31">
        <f>Y6/Y4</f>
        <v>0.53721539472085189</v>
      </c>
      <c r="Z25" s="31">
        <f>Z6/Z4</f>
        <v>0.53674233208869704</v>
      </c>
      <c r="AA25" s="31">
        <f>AA6/AA4</f>
        <v>0.51973746946263322</v>
      </c>
      <c r="AB25" s="31">
        <f>AB6/AB4</f>
        <v>0.48937079123764576</v>
      </c>
      <c r="AC25" s="108">
        <f>AC6/AC4</f>
        <v>0.47397408633515076</v>
      </c>
      <c r="AD25" s="63">
        <v>0.5</v>
      </c>
      <c r="AE25" s="42">
        <v>0.5</v>
      </c>
      <c r="AF25" s="42">
        <v>0.53</v>
      </c>
      <c r="AG25" s="42">
        <v>0.55000000000000004</v>
      </c>
      <c r="AH25" s="42">
        <v>0.55000000000000004</v>
      </c>
      <c r="AI25" s="42">
        <v>0.55000000000000004</v>
      </c>
      <c r="AJ25" s="42">
        <v>0.55000000000000004</v>
      </c>
      <c r="AK25" s="42">
        <v>0.55000000000000004</v>
      </c>
      <c r="AL25" s="42">
        <v>0.55000000000000004</v>
      </c>
      <c r="AM25" s="42">
        <v>0.55000000000000004</v>
      </c>
      <c r="AO25" s="73" t="s">
        <v>1725</v>
      </c>
      <c r="AP25" s="74">
        <v>-0.02</v>
      </c>
    </row>
    <row r="26" spans="2:75" x14ac:dyDescent="0.2">
      <c r="B26" s="1" t="s">
        <v>74</v>
      </c>
      <c r="F26" s="31">
        <f>F13/F4</f>
        <v>-0.21530381494062717</v>
      </c>
      <c r="J26" s="31">
        <f>J13/J4</f>
        <v>-0.28318902011931496</v>
      </c>
      <c r="M26" s="31">
        <f>M13/M4</f>
        <v>-0.25062002058178134</v>
      </c>
      <c r="N26" s="31">
        <f>N13/N4</f>
        <v>-0.33806674086372651</v>
      </c>
      <c r="O26" s="31">
        <f>O13/O4</f>
        <v>-0.33447968433256259</v>
      </c>
      <c r="P26" s="31">
        <f>P13/P4</f>
        <v>-0.30238395290396158</v>
      </c>
      <c r="Q26" s="31">
        <f>Q13/Q4</f>
        <v>-0.3139050712263029</v>
      </c>
      <c r="R26" s="31">
        <f>R13/R4</f>
        <v>-0.33655060136886167</v>
      </c>
      <c r="S26" s="31">
        <f>S13/S4</f>
        <v>-0.24882020373262284</v>
      </c>
      <c r="T26" s="31">
        <f>T13/T4</f>
        <v>-0.33066696065315881</v>
      </c>
      <c r="U26" s="31">
        <f>U13/U4</f>
        <v>-0.46488611741249003</v>
      </c>
      <c r="V26" s="106">
        <f>V13/V4</f>
        <v>-0.2133247574113728</v>
      </c>
      <c r="Y26" s="31">
        <f>Y13/Y4</f>
        <v>-0.17726634331538135</v>
      </c>
      <c r="Z26" s="31">
        <f>Z13/Z4</f>
        <v>-0.32595454433267396</v>
      </c>
      <c r="AA26" s="31">
        <f>AA13/AA4</f>
        <v>-0.27977506788604217</v>
      </c>
      <c r="AB26" s="31">
        <f>AB13/AB4</f>
        <v>-0.32218010942914083</v>
      </c>
      <c r="AC26" s="108">
        <f>AC13/AC4</f>
        <v>-0.31500441285506353</v>
      </c>
      <c r="AD26" s="63">
        <f>AD13/AD4</f>
        <v>-0.24668770568483503</v>
      </c>
      <c r="AE26" s="31">
        <f>AE13/AE4</f>
        <v>-0.19500000000000001</v>
      </c>
      <c r="AF26" s="31">
        <f>AF13/AF4</f>
        <v>-9.5000000000000084E-2</v>
      </c>
      <c r="AG26" s="31">
        <f>AG13/AG4</f>
        <v>2.4999999999999863E-2</v>
      </c>
      <c r="AH26" s="31">
        <f>AH13/AH4</f>
        <v>2.4999999999999883E-2</v>
      </c>
      <c r="AI26" s="31">
        <f>AI13/AI4</f>
        <v>8.4999999999999937E-2</v>
      </c>
      <c r="AJ26" s="31">
        <f>AJ13/AJ4</f>
        <v>0.13499999999999993</v>
      </c>
      <c r="AK26" s="31">
        <f>AK13/AK4</f>
        <v>0.13499999999999993</v>
      </c>
      <c r="AL26" s="31">
        <f>AL13/AL4</f>
        <v>0.13499999999999995</v>
      </c>
      <c r="AM26" s="31">
        <f>AM13/AM4</f>
        <v>0.13499999999999993</v>
      </c>
      <c r="AO26" s="75" t="s">
        <v>1726</v>
      </c>
      <c r="AP26" s="76">
        <v>0.08</v>
      </c>
    </row>
    <row r="27" spans="2:75" x14ac:dyDescent="0.2">
      <c r="B27" s="1" t="s">
        <v>75</v>
      </c>
      <c r="F27" s="31">
        <f>F18/F4</f>
        <v>-0.23082495521336066</v>
      </c>
      <c r="J27" s="31">
        <f>J18/J4</f>
        <v>-0.27246515952950268</v>
      </c>
      <c r="M27" s="31">
        <f>M18/M4</f>
        <v>-0.26098680935511165</v>
      </c>
      <c r="N27" s="31">
        <f>N18/N4</f>
        <v>-0.3272291047090804</v>
      </c>
      <c r="O27" s="31">
        <f>O18/O4</f>
        <v>-0.35007830667742379</v>
      </c>
      <c r="P27" s="31">
        <f>P18/P4</f>
        <v>-0.34062257542257712</v>
      </c>
      <c r="Q27" s="31">
        <f>Q18/Q4</f>
        <v>-0.30277798793800387</v>
      </c>
      <c r="R27" s="31">
        <f>R18/R4</f>
        <v>-0.34577048308857727</v>
      </c>
      <c r="S27" s="31">
        <f>S18/S4</f>
        <v>-0.25318296523842099</v>
      </c>
      <c r="T27" s="31">
        <f>T18/T4</f>
        <v>-0.34215045465435023</v>
      </c>
      <c r="U27" s="31">
        <f>U18/U4</f>
        <v>-0.49065338799426272</v>
      </c>
      <c r="V27" s="106">
        <f>V18/V4</f>
        <v>-0.2239194045525261</v>
      </c>
      <c r="Y27" s="31">
        <f>Y18/Y4</f>
        <v>-0.18759450948902193</v>
      </c>
      <c r="Z27" s="31">
        <f>Z18/Z4</f>
        <v>-0.27066695578896882</v>
      </c>
      <c r="AA27" s="31">
        <f>AA18/AA4</f>
        <v>-0.27868412329376707</v>
      </c>
      <c r="AB27" s="31">
        <f>AB18/AB4</f>
        <v>-0.33425538885207784</v>
      </c>
      <c r="AC27" s="108">
        <f>AC18/AC4</f>
        <v>-0.32829054331824215</v>
      </c>
      <c r="AD27" s="63">
        <f>AD18/AD4</f>
        <v>-0.24520824518319101</v>
      </c>
      <c r="AE27" s="31">
        <f>AE18/AE4</f>
        <v>-0.19233125250964947</v>
      </c>
      <c r="AF27" s="31">
        <f>AF18/AF4</f>
        <v>-9.3605029590974637E-2</v>
      </c>
      <c r="AG27" s="31">
        <f>AG18/AG4</f>
        <v>2.4249999999999869E-2</v>
      </c>
      <c r="AH27" s="31">
        <f>AH18/AH4</f>
        <v>2.3749999999999893E-2</v>
      </c>
      <c r="AI27" s="31">
        <f>AI18/AI4</f>
        <v>8.0749999999999933E-2</v>
      </c>
      <c r="AJ27" s="31">
        <f>AJ18/AJ4</f>
        <v>0.12824999999999995</v>
      </c>
      <c r="AK27" s="31">
        <f>AK18/AK4</f>
        <v>0.12824999999999995</v>
      </c>
      <c r="AL27" s="31">
        <f>AL18/AL4</f>
        <v>0.12824999999999995</v>
      </c>
      <c r="AM27" s="31">
        <f>AM18/AM4</f>
        <v>0.12824999999999992</v>
      </c>
      <c r="AO27" s="75" t="s">
        <v>1727</v>
      </c>
      <c r="AP27" s="77">
        <f>NPV(AP26,Y18:BW18)</f>
        <v>6591.4588106210676</v>
      </c>
    </row>
    <row r="28" spans="2:75" x14ac:dyDescent="0.2">
      <c r="B28" s="1" t="s">
        <v>68</v>
      </c>
      <c r="F28" s="31">
        <f t="shared" ref="F28" si="38">F17/F16</f>
        <v>-8.9862638538234403E-3</v>
      </c>
      <c r="J28" s="31">
        <f t="shared" ref="J28" si="39">J17/J16</f>
        <v>-1.297549696377861E-2</v>
      </c>
      <c r="M28" s="31">
        <f t="shared" ref="M28" si="40">M17/M16</f>
        <v>-5.5734264531333323E-3</v>
      </c>
      <c r="N28" s="31">
        <f t="shared" ref="N28:O28" si="41">N17/N16</f>
        <v>7.891452723696446E-2</v>
      </c>
      <c r="O28" s="31">
        <f t="shared" si="41"/>
        <v>-4.3276992200416255E-3</v>
      </c>
      <c r="P28" s="31">
        <f>P17/P16</f>
        <v>-5.6760251934306425E-3</v>
      </c>
      <c r="Q28" s="31">
        <f t="shared" ref="Q28" si="42">Q17/Q16</f>
        <v>6.2140627223194043E-2</v>
      </c>
      <c r="R28" s="31">
        <f t="shared" ref="R28:S28" si="43">R17/R16</f>
        <v>-5.6738176095419536E-3</v>
      </c>
      <c r="S28" s="31">
        <f t="shared" si="43"/>
        <v>1.2731362897298265E-2</v>
      </c>
      <c r="T28" s="31">
        <f>T17/T16</f>
        <v>-8.1018193175607101E-3</v>
      </c>
      <c r="U28" s="31">
        <f t="shared" ref="U28" si="44">U17/U16</f>
        <v>-7.4778536471246807E-3</v>
      </c>
      <c r="V28" s="106">
        <v>-0.01</v>
      </c>
      <c r="Y28" s="31">
        <f t="shared" ref="Y28:AA28" si="45">Y17/Y16</f>
        <v>-6.5286650489443532E-3</v>
      </c>
      <c r="Z28" s="31">
        <f t="shared" si="45"/>
        <v>0.15226549903924733</v>
      </c>
      <c r="AA28" s="31">
        <f t="shared" si="45"/>
        <v>2.6658023178821082E-2</v>
      </c>
      <c r="AB28" s="31">
        <f>AB17/AB16</f>
        <v>1.1477434857309956E-2</v>
      </c>
      <c r="AC28" s="108">
        <f>AC17/AC16</f>
        <v>-1.0061658111081092E-2</v>
      </c>
      <c r="AD28" s="63">
        <v>1.4999999999999999E-2</v>
      </c>
      <c r="AE28" s="42">
        <v>1.4999999999999999E-2</v>
      </c>
      <c r="AF28" s="42">
        <v>1.4999999999999999E-2</v>
      </c>
      <c r="AG28" s="42">
        <v>0.03</v>
      </c>
      <c r="AH28" s="42">
        <v>0.05</v>
      </c>
      <c r="AI28" s="42">
        <v>0.05</v>
      </c>
      <c r="AJ28" s="42">
        <v>0.05</v>
      </c>
      <c r="AK28" s="42">
        <v>0.05</v>
      </c>
      <c r="AL28" s="42">
        <v>0.05</v>
      </c>
      <c r="AM28" s="42">
        <v>0.05</v>
      </c>
      <c r="AO28" s="75" t="s">
        <v>8</v>
      </c>
      <c r="AP28" s="77">
        <f>Main!C11</f>
        <v>3146.3969999999995</v>
      </c>
    </row>
    <row r="29" spans="2:75" x14ac:dyDescent="0.2">
      <c r="AC29" s="108"/>
      <c r="AO29" s="75" t="s">
        <v>1728</v>
      </c>
      <c r="AP29" s="77">
        <f>AP27+AP28</f>
        <v>9737.8558106210676</v>
      </c>
    </row>
    <row r="30" spans="2:75" x14ac:dyDescent="0.2">
      <c r="B30" s="1" t="s">
        <v>77</v>
      </c>
      <c r="J30" s="31">
        <f>J7/F7-1</f>
        <v>1.1350738897174177</v>
      </c>
      <c r="N30" s="31">
        <f>N7/J7-1</f>
        <v>0.44105373925033553</v>
      </c>
      <c r="Q30" s="31">
        <f>Q7/M7-1</f>
        <v>0.5359453209612739</v>
      </c>
      <c r="R30" s="31">
        <f>R7/N7-1</f>
        <v>0.40535453492471163</v>
      </c>
      <c r="S30" s="31">
        <f>S7/O7-1</f>
        <v>0.37649313501144155</v>
      </c>
      <c r="T30" s="31">
        <f>T7/P7-1</f>
        <v>0.54259157105030908</v>
      </c>
      <c r="U30" s="31">
        <f>U7/Q7-1</f>
        <v>0.35659154795369008</v>
      </c>
      <c r="V30" s="106">
        <f>V7/R7-1</f>
        <v>0.22775018029196104</v>
      </c>
      <c r="Y30" s="45" t="s">
        <v>1715</v>
      </c>
      <c r="Z30" s="31">
        <f>Z7/Y7-1</f>
        <v>1.283844349257111</v>
      </c>
      <c r="AA30" s="31">
        <f>AA7/Z7-1</f>
        <v>0.35566940501590616</v>
      </c>
      <c r="AB30" s="31">
        <f>AB7/AA7-1</f>
        <v>0.48755437773773536</v>
      </c>
      <c r="AC30" s="108">
        <f>AC7/AB7-1</f>
        <v>0.36727701689898473</v>
      </c>
      <c r="AD30" s="63">
        <f>AD7/AC7-1</f>
        <v>0.34035289102486321</v>
      </c>
      <c r="AE30" s="42">
        <f>AE7/AD7-1</f>
        <v>6.785714285714306E-2</v>
      </c>
      <c r="AF30" s="42">
        <f>AF7/AE7-1</f>
        <v>1.7391304347824654E-3</v>
      </c>
      <c r="AG30" s="42">
        <f>AG7/AF7-1</f>
        <v>-0.13333333333333353</v>
      </c>
      <c r="AH30" s="42">
        <f>AH7/AG7-1</f>
        <v>0.15000000000000013</v>
      </c>
      <c r="AI30" s="42">
        <f>AI7/AH7-1</f>
        <v>0.14999999999999991</v>
      </c>
      <c r="AJ30" s="42">
        <f>AJ7/AI7-1</f>
        <v>-0.31692307692307697</v>
      </c>
      <c r="AK30" s="42">
        <f>AK7/AJ7-1</f>
        <v>7.0000000000000062E-2</v>
      </c>
      <c r="AL30" s="42">
        <f>AL7/AK7-1</f>
        <v>7.0000000000000062E-2</v>
      </c>
      <c r="AM30" s="42">
        <f>AM7/AL7-1</f>
        <v>7.0000000000000284E-2</v>
      </c>
      <c r="AO30" s="78" t="s">
        <v>1729</v>
      </c>
      <c r="AP30" s="81">
        <f>AP29/Main!C7</f>
        <v>52.602738134717463</v>
      </c>
      <c r="AQ30" s="30">
        <f>AP30*Main!C7</f>
        <v>9737.8558106210676</v>
      </c>
    </row>
    <row r="31" spans="2:75" s="35" customFormat="1" x14ac:dyDescent="0.2">
      <c r="B31" s="35" t="s">
        <v>78</v>
      </c>
      <c r="N31" s="42">
        <f>N7/M7-1</f>
        <v>0.16248573017592149</v>
      </c>
      <c r="O31" s="42">
        <f>O7/N7-1</f>
        <v>0.10036762854409043</v>
      </c>
      <c r="P31" s="42">
        <f>P7/O7-1</f>
        <v>3.7070938215102878E-2</v>
      </c>
      <c r="Q31" s="42">
        <f>Q7/P7-1</f>
        <v>0.15782215357458074</v>
      </c>
      <c r="R31" s="42">
        <f>R7/Q7-1</f>
        <v>6.3647624946400638E-2</v>
      </c>
      <c r="S31" s="42">
        <f>S7/R7-1</f>
        <v>7.7769665261658405E-2</v>
      </c>
      <c r="T31" s="42">
        <f>T7/S7-1</f>
        <v>0.16221203519373617</v>
      </c>
      <c r="U31" s="42">
        <f>U7/T7-1</f>
        <v>1.8216212930149744E-2</v>
      </c>
      <c r="V31" s="108">
        <f>V7/U7-1</f>
        <v>-3.737159112859334E-2</v>
      </c>
      <c r="Y31" s="45" t="s">
        <v>1715</v>
      </c>
      <c r="Z31" s="45" t="s">
        <v>1715</v>
      </c>
      <c r="AA31" s="45" t="s">
        <v>1715</v>
      </c>
      <c r="AB31" s="45" t="s">
        <v>1715</v>
      </c>
      <c r="AC31" s="126" t="s">
        <v>1715</v>
      </c>
      <c r="AD31" s="52"/>
      <c r="AO31" s="75" t="s">
        <v>1730</v>
      </c>
      <c r="AP31" s="79">
        <f>Main!C6</f>
        <v>66.05</v>
      </c>
    </row>
    <row r="32" spans="2:75" x14ac:dyDescent="0.2">
      <c r="AO32" s="80" t="s">
        <v>1731</v>
      </c>
      <c r="AP32" s="82">
        <f>AP30/AP31-1</f>
        <v>-0.20359215541684383</v>
      </c>
    </row>
    <row r="33" spans="2:39" x14ac:dyDescent="0.2">
      <c r="B33" s="34" t="s">
        <v>1709</v>
      </c>
      <c r="Z33" s="40">
        <f>Z34-Y34</f>
        <v>114714</v>
      </c>
      <c r="AA33" s="40">
        <f>AA34-Z34</f>
        <v>42000</v>
      </c>
      <c r="AB33" s="40">
        <f>AB34-AA34</f>
        <v>35000</v>
      </c>
      <c r="AC33" s="40">
        <f>AC34-AB34</f>
        <v>34000</v>
      </c>
    </row>
    <row r="34" spans="2:39" x14ac:dyDescent="0.2">
      <c r="B34" s="1" t="s">
        <v>1710</v>
      </c>
      <c r="F34" s="40">
        <v>64286</v>
      </c>
      <c r="J34" s="40">
        <v>179000</v>
      </c>
      <c r="M34" s="40">
        <v>208000</v>
      </c>
      <c r="N34" s="40">
        <v>221000</v>
      </c>
      <c r="O34" s="40">
        <v>235000</v>
      </c>
      <c r="P34" s="40">
        <v>240000</v>
      </c>
      <c r="Q34" s="40">
        <v>250000</v>
      </c>
      <c r="R34" s="40">
        <v>256000</v>
      </c>
      <c r="S34" s="40">
        <v>268000</v>
      </c>
      <c r="T34" s="40">
        <v>275000</v>
      </c>
      <c r="U34" s="40">
        <v>280000</v>
      </c>
      <c r="V34" s="40">
        <v>290000</v>
      </c>
      <c r="Y34" s="40">
        <f>F34</f>
        <v>64286</v>
      </c>
      <c r="Z34" s="40">
        <f>J34</f>
        <v>179000</v>
      </c>
      <c r="AA34" s="40">
        <f>N34</f>
        <v>221000</v>
      </c>
      <c r="AB34" s="40">
        <f>R34</f>
        <v>256000</v>
      </c>
      <c r="AC34" s="130">
        <f>V34</f>
        <v>290000</v>
      </c>
    </row>
    <row r="35" spans="2:39" s="35" customFormat="1" x14ac:dyDescent="0.2">
      <c r="B35" s="39" t="s">
        <v>1714</v>
      </c>
      <c r="J35" s="42">
        <f t="shared" ref="J35" si="46">J34/F34-1</f>
        <v>1.7844320691908035</v>
      </c>
      <c r="N35" s="42">
        <f t="shared" ref="N35" si="47">N34/J34-1</f>
        <v>0.23463687150837997</v>
      </c>
      <c r="P35" s="41"/>
      <c r="Q35" s="42">
        <f t="shared" ref="Q35" si="48">Q34/M34-1</f>
        <v>0.20192307692307687</v>
      </c>
      <c r="R35" s="42">
        <f>R34/N34-1</f>
        <v>0.158371040723982</v>
      </c>
      <c r="S35" s="42">
        <f>S34/O34-1</f>
        <v>0.14042553191489371</v>
      </c>
      <c r="T35" s="42">
        <f>T34/P34-1</f>
        <v>0.14583333333333326</v>
      </c>
      <c r="U35" s="42">
        <f t="shared" ref="U35" si="49">U34/Q34-1</f>
        <v>0.12000000000000011</v>
      </c>
      <c r="V35" s="42">
        <f t="shared" ref="V35" si="50">V34/R34-1</f>
        <v>0.1328125</v>
      </c>
      <c r="Z35" s="42">
        <f t="shared" ref="Z35:AA35" si="51">Z34/Y34-1</f>
        <v>1.7844320691908035</v>
      </c>
      <c r="AA35" s="42">
        <f t="shared" si="51"/>
        <v>0.23463687150837997</v>
      </c>
      <c r="AB35" s="42">
        <f>AB34/AA34-1</f>
        <v>0.158371040723982</v>
      </c>
      <c r="AC35" s="42">
        <f>AC34/AB34-1</f>
        <v>0.1328125</v>
      </c>
      <c r="AD35" s="52"/>
    </row>
    <row r="36" spans="2:39" s="35" customFormat="1" x14ac:dyDescent="0.2">
      <c r="B36" s="39" t="s">
        <v>1713</v>
      </c>
      <c r="N36" s="42">
        <f t="shared" ref="N36:Q36" si="52">N34/M34-1</f>
        <v>6.25E-2</v>
      </c>
      <c r="O36" s="42">
        <f t="shared" si="52"/>
        <v>6.3348416289592757E-2</v>
      </c>
      <c r="P36" s="42">
        <f t="shared" si="52"/>
        <v>2.1276595744680771E-2</v>
      </c>
      <c r="Q36" s="42">
        <f t="shared" si="52"/>
        <v>4.1666666666666741E-2</v>
      </c>
      <c r="R36" s="42">
        <f t="shared" ref="R36:S36" si="53">R34/Q34-1</f>
        <v>2.4000000000000021E-2</v>
      </c>
      <c r="S36" s="42">
        <f t="shared" si="53"/>
        <v>4.6875E-2</v>
      </c>
      <c r="T36" s="42">
        <f>T34/S34-1</f>
        <v>2.6119402985074647E-2</v>
      </c>
      <c r="U36" s="42">
        <f t="shared" ref="U36" si="54">U34/T34-1</f>
        <v>1.8181818181818077E-2</v>
      </c>
      <c r="V36" s="42">
        <f t="shared" ref="V36" si="55">V34/U34-1</f>
        <v>3.5714285714285809E-2</v>
      </c>
      <c r="Y36" s="45" t="s">
        <v>1715</v>
      </c>
      <c r="Z36" s="45" t="s">
        <v>1715</v>
      </c>
      <c r="AA36" s="45" t="s">
        <v>1715</v>
      </c>
      <c r="AB36" s="45" t="s">
        <v>1715</v>
      </c>
      <c r="AC36" s="45" t="s">
        <v>1715</v>
      </c>
      <c r="AD36" s="52"/>
    </row>
    <row r="37" spans="2:39" x14ac:dyDescent="0.2">
      <c r="B37" s="1" t="s">
        <v>1711</v>
      </c>
      <c r="F37" s="40">
        <v>1440</v>
      </c>
      <c r="G37" s="40"/>
      <c r="H37" s="40"/>
      <c r="I37" s="40"/>
      <c r="J37" s="40">
        <v>2905</v>
      </c>
      <c r="N37" s="40">
        <v>4629</v>
      </c>
      <c r="Q37" s="40">
        <v>7381</v>
      </c>
      <c r="R37" s="40">
        <v>7867</v>
      </c>
      <c r="S37" s="40">
        <v>8199</v>
      </c>
      <c r="T37" s="40">
        <v>8510</v>
      </c>
      <c r="U37" s="40">
        <v>8992</v>
      </c>
      <c r="V37" s="103">
        <v>8156</v>
      </c>
      <c r="Y37" s="40">
        <v>1440</v>
      </c>
      <c r="Z37" s="40">
        <v>2905</v>
      </c>
      <c r="AA37" s="40">
        <v>4629</v>
      </c>
      <c r="AB37" s="40">
        <f>R37</f>
        <v>7867</v>
      </c>
      <c r="AC37" s="122">
        <f>V37</f>
        <v>8156</v>
      </c>
    </row>
    <row r="38" spans="2:39" s="35" customFormat="1" x14ac:dyDescent="0.2">
      <c r="B38" s="39" t="s">
        <v>1712</v>
      </c>
      <c r="F38" s="43">
        <f>F4/F37</f>
        <v>0.14187638888888887</v>
      </c>
      <c r="J38" s="43">
        <f>J4/J37</f>
        <v>0.11401858864027538</v>
      </c>
      <c r="N38" s="43">
        <f>N4/N37</f>
        <v>0.11840354288183194</v>
      </c>
      <c r="P38" s="43"/>
      <c r="Q38" s="43">
        <f>Q4/Q37</f>
        <v>0.10028126270153097</v>
      </c>
      <c r="R38" s="43">
        <f>R4/R37</f>
        <v>0.10712393542646498</v>
      </c>
      <c r="S38" s="43">
        <f>S4/S37</f>
        <v>0.10676460543968777</v>
      </c>
      <c r="T38" s="43">
        <f>T4/T37</f>
        <v>0.1108524089306698</v>
      </c>
      <c r="U38" s="43">
        <f>U4/U37</f>
        <v>0.10932273131672597</v>
      </c>
      <c r="V38" s="43">
        <f>V4/V37</f>
        <v>0.12562211868563022</v>
      </c>
      <c r="Y38" s="43">
        <f>Y4/Y37</f>
        <v>0.45143541666666664</v>
      </c>
      <c r="Z38" s="43">
        <f>Z4/Z37</f>
        <v>0.39052254733218589</v>
      </c>
      <c r="AA38" s="43">
        <f>AA4/AA37</f>
        <v>0.38059537697126811</v>
      </c>
      <c r="AB38" s="43">
        <f>AB4/AB37</f>
        <v>0.36123541375365448</v>
      </c>
      <c r="AC38" s="43">
        <f>AC4/AC37</f>
        <v>0.46914185875429137</v>
      </c>
      <c r="AD38" s="52"/>
    </row>
    <row r="42" spans="2:39" x14ac:dyDescent="0.2">
      <c r="B42" s="34" t="s">
        <v>79</v>
      </c>
    </row>
    <row r="43" spans="2:39" s="2" customFormat="1" x14ac:dyDescent="0.2">
      <c r="B43" s="2" t="s">
        <v>6</v>
      </c>
      <c r="F43" s="29">
        <v>487.21499999999997</v>
      </c>
      <c r="G43" s="29"/>
      <c r="H43" s="29"/>
      <c r="I43" s="29"/>
      <c r="J43" s="29">
        <v>253.66</v>
      </c>
      <c r="N43" s="29">
        <v>933.88499999999999</v>
      </c>
      <c r="Q43" s="29">
        <v>1497.498</v>
      </c>
      <c r="R43" s="29">
        <v>1479.452</v>
      </c>
      <c r="S43" s="29">
        <v>1617.0219999999999</v>
      </c>
      <c r="T43" s="29">
        <v>798.625</v>
      </c>
      <c r="U43" s="29">
        <v>632.79399999999998</v>
      </c>
      <c r="V43" s="102">
        <v>651.75199999999995</v>
      </c>
      <c r="Y43" s="29">
        <f>F43</f>
        <v>487.21499999999997</v>
      </c>
      <c r="Z43" s="29">
        <f>J43</f>
        <v>253.66</v>
      </c>
      <c r="AA43" s="29">
        <f>N43</f>
        <v>933.88499999999999</v>
      </c>
      <c r="AB43" s="29">
        <f>R43</f>
        <v>1479.452</v>
      </c>
      <c r="AC43" s="127"/>
      <c r="AD43" s="55"/>
      <c r="AE43" s="70"/>
      <c r="AF43" s="70"/>
      <c r="AG43" s="70"/>
      <c r="AH43" s="70"/>
      <c r="AI43" s="70"/>
      <c r="AJ43" s="70"/>
      <c r="AK43" s="70"/>
      <c r="AL43" s="70"/>
      <c r="AM43" s="70"/>
    </row>
    <row r="44" spans="2:39" s="2" customFormat="1" x14ac:dyDescent="0.2">
      <c r="B44" s="2" t="s">
        <v>80</v>
      </c>
      <c r="F44" s="29">
        <v>261.12799999999999</v>
      </c>
      <c r="G44" s="29"/>
      <c r="H44" s="29"/>
      <c r="I44" s="29"/>
      <c r="J44" s="29">
        <v>1559.0329999999999</v>
      </c>
      <c r="N44" s="29">
        <v>2105.9059999999999</v>
      </c>
      <c r="Q44" s="29">
        <v>3896.7539999999999</v>
      </c>
      <c r="R44" s="29">
        <v>3878.43</v>
      </c>
      <c r="S44" s="29">
        <v>3606.29</v>
      </c>
      <c r="T44" s="29">
        <v>3593.6590000000001</v>
      </c>
      <c r="U44" s="29">
        <v>3575.7510000000002</v>
      </c>
      <c r="V44" s="102">
        <v>3503.317</v>
      </c>
      <c r="Y44" s="29">
        <f t="shared" ref="Y44" si="56">F44</f>
        <v>261.12799999999999</v>
      </c>
      <c r="Z44" s="29">
        <f t="shared" ref="Z44" si="57">J44</f>
        <v>1559.0329999999999</v>
      </c>
      <c r="AA44" s="29">
        <f t="shared" ref="AA44" si="58">N44</f>
        <v>2105.9059999999999</v>
      </c>
      <c r="AB44" s="29">
        <f>R44</f>
        <v>3878.43</v>
      </c>
      <c r="AC44" s="127"/>
      <c r="AD44" s="55"/>
      <c r="AE44" s="70"/>
      <c r="AF44" s="70"/>
      <c r="AG44" s="70"/>
      <c r="AH44" s="70"/>
      <c r="AI44" s="70"/>
      <c r="AJ44" s="70"/>
      <c r="AK44" s="70"/>
      <c r="AL44" s="70"/>
      <c r="AM44" s="70"/>
    </row>
    <row r="45" spans="2:39" x14ac:dyDescent="0.2">
      <c r="B45" s="1" t="s">
        <v>81</v>
      </c>
      <c r="F45" s="30">
        <v>97.712000000000003</v>
      </c>
      <c r="G45" s="30"/>
      <c r="H45" s="30"/>
      <c r="I45" s="30"/>
      <c r="J45" s="30">
        <v>154.06700000000001</v>
      </c>
      <c r="N45" s="30">
        <v>251.167</v>
      </c>
      <c r="Q45" s="30">
        <v>345.79300000000001</v>
      </c>
      <c r="R45" s="30">
        <v>388.21499999999997</v>
      </c>
      <c r="S45" s="30">
        <v>406.73599999999999</v>
      </c>
      <c r="T45" s="30">
        <v>471.91500000000002</v>
      </c>
      <c r="U45" s="30">
        <v>487.75</v>
      </c>
      <c r="V45" s="103">
        <v>547.50699999999995</v>
      </c>
      <c r="Y45" s="30">
        <f>F45</f>
        <v>97.712000000000003</v>
      </c>
      <c r="Z45" s="30">
        <f>J45</f>
        <v>154.06700000000001</v>
      </c>
      <c r="AA45" s="30">
        <f>N45</f>
        <v>251.167</v>
      </c>
      <c r="AB45" s="30">
        <f>R45</f>
        <v>388.21499999999997</v>
      </c>
    </row>
    <row r="46" spans="2:39" x14ac:dyDescent="0.2">
      <c r="B46" s="1" t="s">
        <v>82</v>
      </c>
      <c r="F46" s="30">
        <v>26.893000000000001</v>
      </c>
      <c r="G46" s="30"/>
      <c r="H46" s="30"/>
      <c r="I46" s="30"/>
      <c r="J46" s="30">
        <v>54.570999999999998</v>
      </c>
      <c r="N46" s="30">
        <v>81.376999999999995</v>
      </c>
      <c r="Q46" s="30">
        <v>165.76</v>
      </c>
      <c r="R46" s="30">
        <v>186.131</v>
      </c>
      <c r="S46" s="30">
        <v>201.142</v>
      </c>
      <c r="T46" s="30">
        <v>240.19200000000001</v>
      </c>
      <c r="U46" s="30">
        <v>265.97699999999998</v>
      </c>
      <c r="V46" s="103">
        <v>281.51</v>
      </c>
      <c r="Y46" s="30">
        <f t="shared" ref="Y46" si="59">F46</f>
        <v>26.893000000000001</v>
      </c>
      <c r="Z46" s="30">
        <f t="shared" ref="Z46" si="60">J46</f>
        <v>54.570999999999998</v>
      </c>
      <c r="AA46" s="30">
        <f t="shared" ref="AA46" si="61">N46</f>
        <v>81.376999999999995</v>
      </c>
      <c r="AB46" s="30">
        <f t="shared" ref="AB46" si="62">R46</f>
        <v>186.131</v>
      </c>
    </row>
    <row r="47" spans="2:39" x14ac:dyDescent="0.2">
      <c r="B47" s="1" t="s">
        <v>83</v>
      </c>
      <c r="F47" s="30">
        <f>SUM(F43:F46)</f>
        <v>872.94799999999998</v>
      </c>
      <c r="G47" s="30"/>
      <c r="H47" s="30"/>
      <c r="I47" s="30"/>
      <c r="J47" s="30">
        <f>SUM(J43:J46)</f>
        <v>2021.3309999999999</v>
      </c>
      <c r="N47" s="30">
        <f>SUM(N43:N46)</f>
        <v>3372.335</v>
      </c>
      <c r="Q47" s="30">
        <f>SUM(Q43:Q46)</f>
        <v>5905.8050000000003</v>
      </c>
      <c r="R47" s="30">
        <f>SUM(R43:R46)</f>
        <v>5932.2280000000001</v>
      </c>
      <c r="S47" s="30">
        <f>SUM(S43:S46)</f>
        <v>5831.19</v>
      </c>
      <c r="T47" s="30">
        <f>SUM(T43:T46)</f>
        <v>5104.3909999999996</v>
      </c>
      <c r="U47" s="30">
        <f>SUM(U43:U46)</f>
        <v>4962.2719999999999</v>
      </c>
      <c r="V47" s="30">
        <f>SUM(V43:V46)</f>
        <v>4984.0859999999993</v>
      </c>
      <c r="Y47" s="30">
        <f t="shared" ref="Y47:AB47" si="63">SUM(Y43:Y46)</f>
        <v>872.94799999999998</v>
      </c>
      <c r="Z47" s="30">
        <f t="shared" si="63"/>
        <v>2021.3309999999999</v>
      </c>
      <c r="AA47" s="30">
        <f t="shared" si="63"/>
        <v>3372.335</v>
      </c>
      <c r="AB47" s="30">
        <f t="shared" si="63"/>
        <v>5932.2280000000001</v>
      </c>
    </row>
    <row r="48" spans="2:39" x14ac:dyDescent="0.2">
      <c r="B48" s="1" t="s">
        <v>84</v>
      </c>
      <c r="F48" s="30">
        <v>63.533999999999999</v>
      </c>
      <c r="G48" s="30"/>
      <c r="H48" s="30"/>
      <c r="I48" s="30"/>
      <c r="J48" s="30">
        <v>141.256</v>
      </c>
      <c r="N48" s="30">
        <v>183.239</v>
      </c>
      <c r="Q48" s="30">
        <v>237.24100000000001</v>
      </c>
      <c r="R48" s="30">
        <v>255.316</v>
      </c>
      <c r="S48" s="30">
        <v>259.00299999999999</v>
      </c>
      <c r="T48" s="30">
        <v>264.767</v>
      </c>
      <c r="U48" s="30">
        <v>263.86200000000002</v>
      </c>
      <c r="V48" s="103">
        <v>263.97899999999998</v>
      </c>
      <c r="Y48" s="30">
        <f t="shared" ref="Y48:Y52" si="64">F48</f>
        <v>63.533999999999999</v>
      </c>
      <c r="Z48" s="30">
        <f>J48</f>
        <v>141.256</v>
      </c>
      <c r="AA48" s="30">
        <f t="shared" ref="AA48:AA52" si="65">N48</f>
        <v>183.239</v>
      </c>
      <c r="AB48" s="30">
        <f t="shared" ref="AB48:AB52" si="66">R48</f>
        <v>255.316</v>
      </c>
    </row>
    <row r="49" spans="2:39" x14ac:dyDescent="0.2">
      <c r="B49" s="1" t="s">
        <v>85</v>
      </c>
      <c r="F49" s="30">
        <v>0</v>
      </c>
      <c r="G49" s="30"/>
      <c r="H49" s="30"/>
      <c r="I49" s="30"/>
      <c r="J49" s="30">
        <v>156.74100000000001</v>
      </c>
      <c r="N49" s="30">
        <v>258.61</v>
      </c>
      <c r="Q49" s="30">
        <v>248.58199999999999</v>
      </c>
      <c r="R49" s="30">
        <v>234.584</v>
      </c>
      <c r="S49" s="30">
        <v>225.95099999999999</v>
      </c>
      <c r="T49" s="30">
        <v>213.464</v>
      </c>
      <c r="U49" s="30">
        <v>127.56699999999999</v>
      </c>
      <c r="V49" s="103">
        <v>121.34099999999999</v>
      </c>
      <c r="Y49" s="30">
        <f t="shared" si="64"/>
        <v>0</v>
      </c>
      <c r="Z49" s="30">
        <f>J48</f>
        <v>141.256</v>
      </c>
      <c r="AA49" s="30">
        <f t="shared" si="65"/>
        <v>258.61</v>
      </c>
      <c r="AB49" s="30">
        <f t="shared" si="66"/>
        <v>234.584</v>
      </c>
    </row>
    <row r="50" spans="2:39" x14ac:dyDescent="0.2">
      <c r="B50" s="1" t="s">
        <v>86</v>
      </c>
      <c r="F50" s="30">
        <v>18.119</v>
      </c>
      <c r="G50" s="30"/>
      <c r="H50" s="30"/>
      <c r="I50" s="30"/>
      <c r="J50" s="30">
        <v>7.4999999999999997E-2</v>
      </c>
      <c r="N50" s="30">
        <v>0</v>
      </c>
      <c r="Q50" s="30">
        <v>0</v>
      </c>
      <c r="R50" s="30">
        <v>0</v>
      </c>
      <c r="S50" s="30">
        <v>0</v>
      </c>
      <c r="T50" s="30">
        <v>750</v>
      </c>
      <c r="U50" s="30">
        <v>732.49</v>
      </c>
      <c r="V50" s="103">
        <v>699.91099999999994</v>
      </c>
      <c r="Y50" s="30">
        <f t="shared" si="64"/>
        <v>18.119</v>
      </c>
      <c r="Z50" s="30">
        <f>J50</f>
        <v>7.4999999999999997E-2</v>
      </c>
      <c r="AA50" s="30">
        <f t="shared" si="65"/>
        <v>0</v>
      </c>
      <c r="AB50" s="30">
        <f t="shared" si="66"/>
        <v>0</v>
      </c>
    </row>
    <row r="51" spans="2:39" x14ac:dyDescent="0.2">
      <c r="B51" s="1" t="s">
        <v>87</v>
      </c>
      <c r="F51" s="30">
        <f>27.558+38.165</f>
        <v>65.722999999999999</v>
      </c>
      <c r="G51" s="30"/>
      <c r="H51" s="30"/>
      <c r="I51" s="30"/>
      <c r="J51" s="30">
        <f>480.849+2296.784</f>
        <v>2777.6330000000003</v>
      </c>
      <c r="N51" s="30">
        <f>966.573+4595.394</f>
        <v>5561.9670000000006</v>
      </c>
      <c r="Q51" s="30">
        <f>1102.599+5263.051</f>
        <v>6365.6500000000005</v>
      </c>
      <c r="R51" s="30">
        <f>1050.012+5263.166</f>
        <v>6313.1779999999999</v>
      </c>
      <c r="S51" s="30">
        <f>1006.692+5286.683</f>
        <v>6293.375</v>
      </c>
      <c r="T51" s="30">
        <f>953.522+5285.563</f>
        <v>6239.085</v>
      </c>
      <c r="U51" s="30">
        <f>901.155+5284.616</f>
        <v>6185.7709999999997</v>
      </c>
      <c r="V51" s="103">
        <f>5284.153+849.335</f>
        <v>6133.4880000000003</v>
      </c>
      <c r="Y51" s="30">
        <f t="shared" si="64"/>
        <v>65.722999999999999</v>
      </c>
      <c r="Z51" s="30">
        <f t="shared" ref="Z51:Z52" si="67">J51</f>
        <v>2777.6330000000003</v>
      </c>
      <c r="AA51" s="30">
        <f t="shared" si="65"/>
        <v>5561.9670000000006</v>
      </c>
      <c r="AB51" s="30">
        <f t="shared" si="66"/>
        <v>6313.1779999999999</v>
      </c>
    </row>
    <row r="52" spans="2:39" x14ac:dyDescent="0.2">
      <c r="B52" s="1" t="s">
        <v>88</v>
      </c>
      <c r="F52" s="30">
        <v>8.3859999999999992</v>
      </c>
      <c r="G52" s="30"/>
      <c r="H52" s="30"/>
      <c r="I52" s="30"/>
      <c r="J52" s="30">
        <v>33.479999999999997</v>
      </c>
      <c r="N52" s="30">
        <v>111.282</v>
      </c>
      <c r="Q52" s="30">
        <v>219.56899999999999</v>
      </c>
      <c r="R52" s="30">
        <v>263.29199999999997</v>
      </c>
      <c r="S52" s="30">
        <v>281.28300000000002</v>
      </c>
      <c r="T52" s="30">
        <v>297.52199999999999</v>
      </c>
      <c r="U52" s="30">
        <v>340.69400000000002</v>
      </c>
      <c r="V52" s="103">
        <v>360.9</v>
      </c>
      <c r="Y52" s="30">
        <f t="shared" si="64"/>
        <v>8.3859999999999992</v>
      </c>
      <c r="Z52" s="30">
        <f t="shared" si="67"/>
        <v>33.479999999999997</v>
      </c>
      <c r="AA52" s="30">
        <f t="shared" si="65"/>
        <v>111.282</v>
      </c>
      <c r="AB52" s="30">
        <f t="shared" si="66"/>
        <v>263.29199999999997</v>
      </c>
    </row>
    <row r="53" spans="2:39" x14ac:dyDescent="0.2">
      <c r="B53" s="1" t="s">
        <v>89</v>
      </c>
      <c r="F53" s="30">
        <f>F47+SUM(F48:F52)</f>
        <v>1028.71</v>
      </c>
      <c r="G53" s="30"/>
      <c r="H53" s="30"/>
      <c r="I53" s="30"/>
      <c r="J53" s="30">
        <f>J47+SUM(J48:J52)</f>
        <v>5130.5160000000005</v>
      </c>
      <c r="N53" s="30">
        <f>N47+SUM(N48:N52)</f>
        <v>9487.4330000000009</v>
      </c>
      <c r="Q53" s="30">
        <f>Q47+SUM(Q48:Q52)</f>
        <v>12976.847000000002</v>
      </c>
      <c r="R53" s="30">
        <f>R47+SUM(R48:R52)</f>
        <v>12998.598</v>
      </c>
      <c r="S53" s="30">
        <f>S47+SUM(S48:S52)</f>
        <v>12890.802</v>
      </c>
      <c r="T53" s="30">
        <f>T47+SUM(T48:T52)</f>
        <v>12869.228999999999</v>
      </c>
      <c r="U53" s="30">
        <f>U47+SUM(U48:U52)</f>
        <v>12612.655999999999</v>
      </c>
      <c r="V53" s="30">
        <f>V47+SUM(V48:V52)</f>
        <v>12563.704999999998</v>
      </c>
      <c r="Y53" s="30">
        <f t="shared" ref="Y53:AB53" si="68">Y47+SUM(Y48:Y52)</f>
        <v>1028.71</v>
      </c>
      <c r="Z53" s="30">
        <f t="shared" si="68"/>
        <v>5115.0309999999999</v>
      </c>
      <c r="AA53" s="30">
        <f t="shared" si="68"/>
        <v>9487.4330000000009</v>
      </c>
      <c r="AB53" s="30">
        <f t="shared" si="68"/>
        <v>12998.598</v>
      </c>
    </row>
    <row r="54" spans="2:39" x14ac:dyDescent="0.2">
      <c r="N54" s="30"/>
      <c r="Q54" s="30"/>
      <c r="S54" s="30"/>
      <c r="T54" s="30"/>
      <c r="U54" s="30"/>
      <c r="V54" s="103"/>
      <c r="Y54" s="30"/>
      <c r="Z54" s="30"/>
    </row>
    <row r="55" spans="2:39" x14ac:dyDescent="0.2">
      <c r="B55" s="1" t="s">
        <v>90</v>
      </c>
      <c r="F55" s="30">
        <v>18.495000000000001</v>
      </c>
      <c r="J55" s="30">
        <v>39.098999999999997</v>
      </c>
      <c r="N55" s="30">
        <v>60.042000000000002</v>
      </c>
      <c r="Q55" s="30">
        <v>76.293000000000006</v>
      </c>
      <c r="R55" s="30">
        <v>93.332999999999998</v>
      </c>
      <c r="S55" s="30">
        <v>93.388999999999996</v>
      </c>
      <c r="T55" s="30">
        <v>102.039</v>
      </c>
      <c r="U55" s="30">
        <v>103.23399999999999</v>
      </c>
      <c r="V55" s="103">
        <v>124.605</v>
      </c>
      <c r="Y55" s="30">
        <f t="shared" ref="Y55:Y58" si="69">F55</f>
        <v>18.495000000000001</v>
      </c>
      <c r="Z55" s="30">
        <f t="shared" ref="Z55:Z58" si="70">J55</f>
        <v>39.098999999999997</v>
      </c>
      <c r="AA55" s="30">
        <f t="shared" ref="AA55:AA61" si="71">N55</f>
        <v>60.042000000000002</v>
      </c>
      <c r="AB55" s="30">
        <f t="shared" ref="AB55:AB58" si="72">R55</f>
        <v>93.332999999999998</v>
      </c>
    </row>
    <row r="56" spans="2:39" x14ac:dyDescent="0.2">
      <c r="B56" s="1" t="s">
        <v>91</v>
      </c>
      <c r="F56" s="30">
        <v>96.343000000000004</v>
      </c>
      <c r="J56" s="30">
        <v>147.68100000000001</v>
      </c>
      <c r="N56" s="30">
        <v>252.89500000000001</v>
      </c>
      <c r="Q56" s="30">
        <v>368.863</v>
      </c>
      <c r="R56" s="30">
        <v>417.50299999999999</v>
      </c>
      <c r="S56" s="30">
        <v>433.66800000000001</v>
      </c>
      <c r="T56" s="30">
        <v>504.81</v>
      </c>
      <c r="U56" s="30">
        <v>572.87599999999998</v>
      </c>
      <c r="V56" s="103">
        <v>490.221</v>
      </c>
      <c r="Y56" s="30">
        <f t="shared" si="69"/>
        <v>96.343000000000004</v>
      </c>
      <c r="Z56" s="30">
        <f t="shared" si="70"/>
        <v>147.68100000000001</v>
      </c>
      <c r="AA56" s="30">
        <f t="shared" si="71"/>
        <v>252.89500000000001</v>
      </c>
      <c r="AB56" s="30">
        <f t="shared" si="72"/>
        <v>417.50299999999999</v>
      </c>
    </row>
    <row r="57" spans="2:39" x14ac:dyDescent="0.2">
      <c r="B57" s="1" t="s">
        <v>92</v>
      </c>
      <c r="F57" s="30">
        <v>22.972000000000001</v>
      </c>
      <c r="J57" s="30">
        <v>26.361999999999998</v>
      </c>
      <c r="N57" s="30">
        <v>87.031000000000006</v>
      </c>
      <c r="Q57" s="30">
        <v>121.337</v>
      </c>
      <c r="R57" s="30">
        <v>140.38900000000001</v>
      </c>
      <c r="S57" s="30">
        <v>139.67099999999999</v>
      </c>
      <c r="T57" s="30">
        <v>137.72800000000001</v>
      </c>
      <c r="U57" s="30">
        <v>135.61000000000001</v>
      </c>
      <c r="V57" s="103">
        <v>139.11000000000001</v>
      </c>
      <c r="Y57" s="30">
        <f t="shared" si="69"/>
        <v>22.972000000000001</v>
      </c>
      <c r="Z57" s="30">
        <f t="shared" si="70"/>
        <v>26.361999999999998</v>
      </c>
      <c r="AA57" s="30">
        <f t="shared" si="71"/>
        <v>87.031000000000006</v>
      </c>
      <c r="AB57" s="30">
        <f t="shared" si="72"/>
        <v>140.38900000000001</v>
      </c>
    </row>
    <row r="58" spans="2:39" x14ac:dyDescent="0.2">
      <c r="B58" s="1" t="s">
        <v>93</v>
      </c>
      <c r="F58" s="30">
        <v>0</v>
      </c>
      <c r="J58" s="30">
        <v>27.155999999999999</v>
      </c>
      <c r="N58" s="30">
        <v>48.338000000000001</v>
      </c>
      <c r="Q58" s="30">
        <v>50.76</v>
      </c>
      <c r="R58" s="30">
        <v>52.325000000000003</v>
      </c>
      <c r="S58" s="30">
        <v>53.094000000000001</v>
      </c>
      <c r="T58" s="30">
        <v>50.743000000000002</v>
      </c>
      <c r="U58" s="30">
        <v>52.453000000000003</v>
      </c>
      <c r="V58" s="103">
        <v>54.22</v>
      </c>
      <c r="Y58" s="30">
        <f t="shared" si="69"/>
        <v>0</v>
      </c>
      <c r="Z58" s="30">
        <f t="shared" si="70"/>
        <v>27.155999999999999</v>
      </c>
      <c r="AA58" s="30">
        <f t="shared" si="71"/>
        <v>48.338000000000001</v>
      </c>
      <c r="AB58" s="30">
        <f t="shared" si="72"/>
        <v>52.325000000000003</v>
      </c>
    </row>
    <row r="59" spans="2:39" x14ac:dyDescent="0.2">
      <c r="B59" s="1" t="s">
        <v>95</v>
      </c>
      <c r="F59" s="30">
        <v>0</v>
      </c>
      <c r="J59" s="30">
        <v>6.9240000000000004</v>
      </c>
      <c r="N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103">
        <v>0</v>
      </c>
      <c r="Y59" s="30">
        <f>F59</f>
        <v>0</v>
      </c>
      <c r="Z59" s="30">
        <f>J59</f>
        <v>6.9240000000000004</v>
      </c>
      <c r="AA59" s="30">
        <f t="shared" si="71"/>
        <v>0</v>
      </c>
      <c r="AB59" s="30">
        <f>R59</f>
        <v>0</v>
      </c>
    </row>
    <row r="60" spans="2:39" x14ac:dyDescent="0.2">
      <c r="B60" s="1" t="s">
        <v>94</v>
      </c>
      <c r="F60" s="30">
        <f>SUM(F55:F59)</f>
        <v>137.81</v>
      </c>
      <c r="J60" s="30">
        <f>SUM(J55:J59)</f>
        <v>247.22200000000001</v>
      </c>
      <c r="N60" s="30">
        <f>SUM(N55:N59)</f>
        <v>448.30600000000004</v>
      </c>
      <c r="Q60" s="30">
        <f t="shared" ref="Q60:S60" si="73">SUM(Q55:Q59)</f>
        <v>617.25300000000004</v>
      </c>
      <c r="R60" s="30">
        <f t="shared" si="73"/>
        <v>703.55000000000007</v>
      </c>
      <c r="S60" s="30">
        <f t="shared" si="73"/>
        <v>719.82200000000012</v>
      </c>
      <c r="T60" s="30">
        <f>SUM(T55:T59)</f>
        <v>795.32</v>
      </c>
      <c r="U60" s="30">
        <f>SUM(U55:U59)</f>
        <v>864.173</v>
      </c>
      <c r="V60" s="30">
        <f>SUM(V55:V59)</f>
        <v>808.15600000000006</v>
      </c>
      <c r="Y60" s="30">
        <f>SUM(Y55:Y59)</f>
        <v>137.81</v>
      </c>
      <c r="Z60" s="30">
        <f>SUM(Z55:Z59)</f>
        <v>247.22200000000001</v>
      </c>
      <c r="AA60" s="30">
        <f>SUM(AA55:AA59)</f>
        <v>448.30600000000004</v>
      </c>
      <c r="AB60" s="30">
        <f>SUM(AB55:AB59)</f>
        <v>703.55000000000007</v>
      </c>
    </row>
    <row r="61" spans="2:39" x14ac:dyDescent="0.2">
      <c r="B61" s="1" t="s">
        <v>93</v>
      </c>
      <c r="F61" s="30">
        <v>0</v>
      </c>
      <c r="J61" s="30">
        <v>139.19999999999999</v>
      </c>
      <c r="N61" s="30">
        <v>229.905</v>
      </c>
      <c r="Q61" s="30">
        <v>223.03299999999999</v>
      </c>
      <c r="R61" s="30">
        <v>211.25299999999999</v>
      </c>
      <c r="S61" s="30">
        <v>201.35400000000001</v>
      </c>
      <c r="T61" s="30">
        <v>189.06800000000001</v>
      </c>
      <c r="U61" s="30">
        <v>176.33600000000001</v>
      </c>
      <c r="V61" s="103">
        <v>164.55099999999999</v>
      </c>
      <c r="Y61" s="30">
        <f t="shared" ref="Y61:Y64" si="74">F61</f>
        <v>0</v>
      </c>
      <c r="Z61" s="30">
        <f t="shared" ref="Z61:Z64" si="75">J61</f>
        <v>139.19999999999999</v>
      </c>
      <c r="AA61" s="30">
        <f t="shared" si="71"/>
        <v>229.905</v>
      </c>
      <c r="AB61" s="30">
        <f t="shared" ref="AB61" si="76">R61</f>
        <v>211.25299999999999</v>
      </c>
    </row>
    <row r="62" spans="2:39" s="2" customFormat="1" x14ac:dyDescent="0.2">
      <c r="B62" s="2" t="s">
        <v>95</v>
      </c>
      <c r="F62" s="29">
        <v>0</v>
      </c>
      <c r="J62" s="29">
        <v>8.7460000000000004</v>
      </c>
      <c r="N62" s="29">
        <v>17.856000000000002</v>
      </c>
      <c r="Q62" s="29">
        <v>20.254000000000001</v>
      </c>
      <c r="R62" s="29">
        <v>25.132000000000001</v>
      </c>
      <c r="S62" s="29">
        <v>22.053000000000001</v>
      </c>
      <c r="T62" s="29">
        <v>18.934999999999999</v>
      </c>
      <c r="U62" s="29">
        <v>24.841999999999999</v>
      </c>
      <c r="V62" s="102">
        <v>21.29</v>
      </c>
      <c r="Y62" s="29">
        <f t="shared" si="74"/>
        <v>0</v>
      </c>
      <c r="Z62" s="29">
        <f t="shared" si="75"/>
        <v>8.7460000000000004</v>
      </c>
      <c r="AA62" s="29">
        <f t="shared" ref="AA62" si="77">N62</f>
        <v>17.856000000000002</v>
      </c>
      <c r="AB62" s="29">
        <f>R62</f>
        <v>25.132000000000001</v>
      </c>
      <c r="AC62" s="127"/>
      <c r="AD62" s="55"/>
      <c r="AE62" s="70"/>
      <c r="AF62" s="70"/>
      <c r="AG62" s="70"/>
      <c r="AH62" s="70"/>
      <c r="AI62" s="70"/>
      <c r="AJ62" s="70"/>
      <c r="AK62" s="70"/>
      <c r="AL62" s="70"/>
      <c r="AM62" s="70"/>
    </row>
    <row r="63" spans="2:39" s="2" customFormat="1" x14ac:dyDescent="0.2">
      <c r="B63" s="2" t="s">
        <v>96</v>
      </c>
      <c r="F63" s="29">
        <v>434.49599999999998</v>
      </c>
      <c r="J63" s="29">
        <v>458.19</v>
      </c>
      <c r="N63" s="29">
        <v>302.06799999999998</v>
      </c>
      <c r="Q63" s="29">
        <v>985.54700000000003</v>
      </c>
      <c r="R63" s="29">
        <v>985.90700000000004</v>
      </c>
      <c r="S63" s="29">
        <v>986.24300000000005</v>
      </c>
      <c r="T63" s="29">
        <v>986.61900000000003</v>
      </c>
      <c r="U63" s="29">
        <v>986.98500000000001</v>
      </c>
      <c r="V63" s="102">
        <v>987.38199999999995</v>
      </c>
      <c r="Y63" s="29">
        <f t="shared" si="74"/>
        <v>434.49599999999998</v>
      </c>
      <c r="Z63" s="29">
        <f t="shared" si="75"/>
        <v>458.19</v>
      </c>
      <c r="AA63" s="29">
        <f t="shared" ref="AA63:AA64" si="78">N63</f>
        <v>302.06799999999998</v>
      </c>
      <c r="AB63" s="29">
        <f t="shared" ref="AB63:AB64" si="79">R63</f>
        <v>985.90700000000004</v>
      </c>
      <c r="AC63" s="127"/>
      <c r="AD63" s="55"/>
      <c r="AE63" s="70"/>
      <c r="AF63" s="70"/>
      <c r="AG63" s="70"/>
      <c r="AH63" s="70"/>
      <c r="AI63" s="70"/>
      <c r="AJ63" s="70"/>
      <c r="AK63" s="70"/>
      <c r="AL63" s="70"/>
      <c r="AM63" s="70"/>
    </row>
    <row r="64" spans="2:39" x14ac:dyDescent="0.2">
      <c r="B64" s="1" t="s">
        <v>97</v>
      </c>
      <c r="F64" s="30">
        <v>18.169</v>
      </c>
      <c r="J64" s="30">
        <v>17.747</v>
      </c>
      <c r="N64" s="30">
        <v>36.633000000000003</v>
      </c>
      <c r="Q64" s="30">
        <v>49.191000000000003</v>
      </c>
      <c r="R64" s="30">
        <v>41.29</v>
      </c>
      <c r="S64" s="30">
        <v>43.896999999999998</v>
      </c>
      <c r="T64" s="30">
        <v>37.292000000000002</v>
      </c>
      <c r="U64" s="30">
        <v>29.431999999999999</v>
      </c>
      <c r="V64" s="103">
        <v>23.881</v>
      </c>
      <c r="Y64" s="30">
        <f t="shared" si="74"/>
        <v>18.169</v>
      </c>
      <c r="Z64" s="30">
        <f t="shared" si="75"/>
        <v>17.747</v>
      </c>
      <c r="AA64" s="30">
        <f t="shared" si="78"/>
        <v>36.633000000000003</v>
      </c>
      <c r="AB64" s="30">
        <f t="shared" si="79"/>
        <v>41.29</v>
      </c>
    </row>
    <row r="65" spans="2:30" x14ac:dyDescent="0.2">
      <c r="B65" s="1" t="s">
        <v>98</v>
      </c>
      <c r="F65" s="30">
        <f>SUM(F61:F64)+F60</f>
        <v>590.47499999999991</v>
      </c>
      <c r="J65" s="30">
        <f>SUM(J61:J64)+J60</f>
        <v>871.1049999999999</v>
      </c>
      <c r="N65" s="30">
        <f>SUM(N61:N64)+N60</f>
        <v>1034.768</v>
      </c>
      <c r="Q65" s="30">
        <f>SUM(Q61:Q64)+Q60</f>
        <v>1895.2780000000002</v>
      </c>
      <c r="R65" s="30">
        <f>SUM(R61:R64)+R60</f>
        <v>1967.1320000000001</v>
      </c>
      <c r="S65" s="30">
        <f>SUM(S61:S64)+S60</f>
        <v>1973.3690000000001</v>
      </c>
      <c r="T65" s="30">
        <f>SUM(T61:T64)+T60</f>
        <v>2027.2339999999999</v>
      </c>
      <c r="U65" s="30">
        <f>SUM(U61:U64)+U60</f>
        <v>2081.768</v>
      </c>
      <c r="V65" s="30">
        <f>SUM(V61:V64)+V60</f>
        <v>2005.2600000000002</v>
      </c>
      <c r="Y65" s="30">
        <f t="shared" ref="Y65:Z65" si="80">SUM(Y61:Y64)+Y60</f>
        <v>590.47499999999991</v>
      </c>
      <c r="Z65" s="30">
        <f t="shared" si="80"/>
        <v>871.1049999999999</v>
      </c>
      <c r="AA65" s="30">
        <f>SUM(AA61:AA64)+AA60</f>
        <v>1034.768</v>
      </c>
      <c r="AB65" s="30">
        <f>SUM(AB61:AB64)+AB60</f>
        <v>1967.1320000000001</v>
      </c>
    </row>
    <row r="66" spans="2:30" x14ac:dyDescent="0.2">
      <c r="T66" s="30"/>
      <c r="Y66" s="30"/>
      <c r="Z66" s="30"/>
    </row>
    <row r="67" spans="2:30" x14ac:dyDescent="0.2">
      <c r="B67" s="1" t="s">
        <v>99</v>
      </c>
      <c r="F67" s="30">
        <v>438.23500000000001</v>
      </c>
      <c r="J67" s="30">
        <v>4279.4110000000001</v>
      </c>
      <c r="N67" s="30">
        <v>8452.6650000000009</v>
      </c>
      <c r="Q67" s="30">
        <v>11081.749</v>
      </c>
      <c r="R67" s="30">
        <v>11031.466</v>
      </c>
      <c r="S67" s="30">
        <v>10917.433000000001</v>
      </c>
      <c r="T67" s="30">
        <v>10841.995000000001</v>
      </c>
      <c r="U67" s="30">
        <v>10530.888000000001</v>
      </c>
      <c r="V67" s="103">
        <v>10559.041999999999</v>
      </c>
      <c r="Y67" s="30">
        <f>F67</f>
        <v>438.23500000000001</v>
      </c>
      <c r="Z67" s="30">
        <f>J67</f>
        <v>4279.4110000000001</v>
      </c>
      <c r="AA67" s="30">
        <f>N67</f>
        <v>8452.6650000000009</v>
      </c>
      <c r="AB67" s="30">
        <f>R67</f>
        <v>11031.466</v>
      </c>
    </row>
    <row r="68" spans="2:30" x14ac:dyDescent="0.2">
      <c r="B68" s="1" t="s">
        <v>100</v>
      </c>
      <c r="F68" s="30">
        <f>F67+F65</f>
        <v>1028.71</v>
      </c>
      <c r="J68" s="30">
        <f>J67+J65</f>
        <v>5150.5159999999996</v>
      </c>
      <c r="N68" s="30">
        <f>N67+N65</f>
        <v>9487.4330000000009</v>
      </c>
      <c r="Q68" s="30">
        <f>Q67+Q65</f>
        <v>12977.027</v>
      </c>
      <c r="R68" s="30">
        <f>R67+R65</f>
        <v>12998.598</v>
      </c>
      <c r="S68" s="30">
        <f>S67+S65</f>
        <v>12890.802000000001</v>
      </c>
      <c r="T68" s="30">
        <f>T67+T65</f>
        <v>12869.229000000001</v>
      </c>
      <c r="U68" s="30">
        <f>U67+U65</f>
        <v>12612.656000000001</v>
      </c>
      <c r="V68" s="30">
        <f>V67+V65</f>
        <v>12564.302</v>
      </c>
      <c r="Y68" s="30">
        <f>Y67+Y65</f>
        <v>1028.71</v>
      </c>
      <c r="Z68" s="30">
        <f>Z67+Z65</f>
        <v>5150.5159999999996</v>
      </c>
      <c r="AA68" s="30">
        <f>AA67+AA65</f>
        <v>9487.4330000000009</v>
      </c>
      <c r="AB68" s="30">
        <f>AB67+AB65</f>
        <v>12998.598</v>
      </c>
    </row>
    <row r="69" spans="2:30" x14ac:dyDescent="0.2">
      <c r="Y69" s="30"/>
      <c r="Z69" s="30"/>
    </row>
    <row r="70" spans="2:30" x14ac:dyDescent="0.2">
      <c r="B70" s="1" t="s">
        <v>101</v>
      </c>
      <c r="F70" s="30">
        <f t="shared" ref="F70" si="81">F53-F65</f>
        <v>438.23500000000013</v>
      </c>
      <c r="J70" s="30">
        <f t="shared" ref="J70" si="82">J53-J65</f>
        <v>4259.411000000001</v>
      </c>
      <c r="N70" s="30">
        <f t="shared" ref="N70" si="83">N53-N65</f>
        <v>8452.6650000000009</v>
      </c>
      <c r="Q70" s="30">
        <f t="shared" ref="Q70:R70" si="84">Q53-Q65</f>
        <v>11081.569000000001</v>
      </c>
      <c r="R70" s="30">
        <f t="shared" si="84"/>
        <v>11031.466</v>
      </c>
      <c r="S70" s="30">
        <f t="shared" ref="S70" si="85">S53-S65</f>
        <v>10917.432999999999</v>
      </c>
      <c r="T70" s="30">
        <f>T53-T65</f>
        <v>10841.994999999999</v>
      </c>
      <c r="U70" s="30">
        <f t="shared" ref="U70:V70" si="86">U53-U65</f>
        <v>10530.887999999999</v>
      </c>
      <c r="V70" s="30">
        <f t="shared" si="86"/>
        <v>10558.444999999998</v>
      </c>
      <c r="Y70" s="30">
        <f>Y53-Y65</f>
        <v>438.23500000000013</v>
      </c>
      <c r="Z70" s="30">
        <f>Z53-Z65</f>
        <v>4243.9260000000004</v>
      </c>
      <c r="AA70" s="30">
        <f>AA53-AA65</f>
        <v>8452.6650000000009</v>
      </c>
      <c r="AB70" s="30">
        <f>AB53-AB65</f>
        <v>11031.466</v>
      </c>
    </row>
    <row r="71" spans="2:30" x14ac:dyDescent="0.2">
      <c r="B71" s="1" t="s">
        <v>102</v>
      </c>
      <c r="F71" s="1">
        <f t="shared" ref="F71" si="87">F70/F20</f>
        <v>4.4080086658029467</v>
      </c>
      <c r="J71" s="1">
        <f t="shared" ref="J71" si="88">J70/J20</f>
        <v>30.926123407736053</v>
      </c>
      <c r="N71" s="1">
        <f t="shared" ref="N71" si="89">N70/N20</f>
        <v>53.368623979541908</v>
      </c>
      <c r="Q71" s="1">
        <f t="shared" ref="Q71" si="90">Q70/Q20</f>
        <v>62.526032015171587</v>
      </c>
      <c r="R71" s="1">
        <f t="shared" ref="R71" si="91">R70/R20</f>
        <v>61.650794916840383</v>
      </c>
      <c r="S71" s="1">
        <f t="shared" ref="S71" si="92">S70/S20</f>
        <v>60.351081657501894</v>
      </c>
      <c r="T71" s="1">
        <f>T70/T20</f>
        <v>59.457757070299436</v>
      </c>
      <c r="U71" s="1">
        <f t="shared" ref="U71:V71" si="93">U70/U20</f>
        <v>57.328874782323787</v>
      </c>
      <c r="V71" s="1">
        <f t="shared" si="93"/>
        <v>57.035463273037927</v>
      </c>
      <c r="Y71" s="1">
        <f>Y70/Y20</f>
        <v>4.511824055303669</v>
      </c>
      <c r="Z71" s="1">
        <f>Z70/Z20</f>
        <v>32.624743427364088</v>
      </c>
      <c r="AA71" s="1">
        <f>AA70/AA20</f>
        <v>57.615309329074869</v>
      </c>
      <c r="AB71" s="1">
        <f>AB70/AB20</f>
        <v>63.333543173168131</v>
      </c>
    </row>
    <row r="72" spans="2:30" x14ac:dyDescent="0.2">
      <c r="V72" s="1"/>
      <c r="Y72" s="30"/>
      <c r="Z72" s="30"/>
    </row>
    <row r="73" spans="2:30" s="35" customFormat="1" x14ac:dyDescent="0.2">
      <c r="B73" s="35" t="s">
        <v>6</v>
      </c>
      <c r="F73" s="36">
        <f>F43+F44</f>
        <v>748.34299999999996</v>
      </c>
      <c r="J73" s="36">
        <f>J43+J44</f>
        <v>1812.693</v>
      </c>
      <c r="N73" s="36">
        <f>N43+N44</f>
        <v>3039.7910000000002</v>
      </c>
      <c r="Q73" s="36">
        <f t="shared" ref="Q73" si="94">Q43+Q44</f>
        <v>5394.2520000000004</v>
      </c>
      <c r="R73" s="36">
        <f>R43+R44</f>
        <v>5357.8819999999996</v>
      </c>
      <c r="S73" s="36">
        <f>S43+S44</f>
        <v>5223.3119999999999</v>
      </c>
      <c r="T73" s="36">
        <f>T43+T44</f>
        <v>4392.2839999999997</v>
      </c>
      <c r="U73" s="36">
        <f t="shared" ref="U73:V73" si="95">U43+U44</f>
        <v>4208.5450000000001</v>
      </c>
      <c r="V73" s="36">
        <f t="shared" si="95"/>
        <v>4155.0689999999995</v>
      </c>
      <c r="Y73" s="36">
        <f>F73</f>
        <v>748.34299999999996</v>
      </c>
      <c r="Z73" s="36">
        <f>J73</f>
        <v>1812.693</v>
      </c>
      <c r="AA73" s="36">
        <f>N73</f>
        <v>3039.7910000000002</v>
      </c>
      <c r="AB73" s="36">
        <f>R73</f>
        <v>5357.8819999999996</v>
      </c>
      <c r="AC73" s="109"/>
      <c r="AD73" s="52"/>
    </row>
    <row r="74" spans="2:30" s="35" customFormat="1" x14ac:dyDescent="0.2">
      <c r="B74" s="35" t="s">
        <v>7</v>
      </c>
      <c r="F74" s="36">
        <f>F62+F63+F59</f>
        <v>434.49599999999998</v>
      </c>
      <c r="J74" s="36">
        <f>J62+J63+J59</f>
        <v>473.85999999999996</v>
      </c>
      <c r="N74" s="36">
        <f>N62+N63+N59</f>
        <v>319.92399999999998</v>
      </c>
      <c r="Q74" s="36">
        <f>Q62+Q63+Q59</f>
        <v>1005.801</v>
      </c>
      <c r="R74" s="36">
        <f>R62+R63+R59</f>
        <v>1011.039</v>
      </c>
      <c r="S74" s="36">
        <f>S62+S63+S59</f>
        <v>1008.296</v>
      </c>
      <c r="T74" s="36">
        <f>T62+T63+T59</f>
        <v>1005.554</v>
      </c>
      <c r="U74" s="36">
        <f t="shared" ref="U74:V74" si="96">U62+U63+U59</f>
        <v>1011.827</v>
      </c>
      <c r="V74" s="36">
        <f t="shared" si="96"/>
        <v>1008.6719999999999</v>
      </c>
      <c r="Y74" s="36">
        <f>F74</f>
        <v>434.49599999999998</v>
      </c>
      <c r="Z74" s="36">
        <f>J74</f>
        <v>473.85999999999996</v>
      </c>
      <c r="AA74" s="36">
        <f>N74</f>
        <v>319.92399999999998</v>
      </c>
      <c r="AB74" s="36">
        <f>R74</f>
        <v>1011.039</v>
      </c>
      <c r="AC74" s="109"/>
      <c r="AD74" s="52"/>
    </row>
    <row r="75" spans="2:30" x14ac:dyDescent="0.2">
      <c r="B75" s="1" t="s">
        <v>8</v>
      </c>
      <c r="F75" s="30">
        <f t="shared" ref="F75" si="97">F73-F74</f>
        <v>313.84699999999998</v>
      </c>
      <c r="J75" s="30">
        <f t="shared" ref="J75" si="98">J73-J74</f>
        <v>1338.8330000000001</v>
      </c>
      <c r="N75" s="30">
        <f t="shared" ref="N75" si="99">N73-N74</f>
        <v>2719.8670000000002</v>
      </c>
      <c r="Q75" s="30">
        <f t="shared" ref="Q75" si="100">Q73-Q74</f>
        <v>4388.451</v>
      </c>
      <c r="R75" s="30">
        <f t="shared" ref="R75" si="101">R73-R74</f>
        <v>4346.8429999999998</v>
      </c>
      <c r="S75" s="30">
        <f t="shared" ref="S75" si="102">S73-S74</f>
        <v>4215.0159999999996</v>
      </c>
      <c r="T75" s="30">
        <f>T73-T74</f>
        <v>3386.7299999999996</v>
      </c>
      <c r="U75" s="30">
        <f t="shared" ref="U75:V75" si="103">U73-U74</f>
        <v>3196.7179999999998</v>
      </c>
      <c r="V75" s="30">
        <f t="shared" si="103"/>
        <v>3146.3969999999995</v>
      </c>
      <c r="Y75" s="30">
        <f>Y73-Y74</f>
        <v>313.84699999999998</v>
      </c>
      <c r="Z75" s="30">
        <f>Z73-Z74</f>
        <v>1338.8330000000001</v>
      </c>
      <c r="AA75" s="30">
        <f>AA73-AA74</f>
        <v>2719.8670000000002</v>
      </c>
      <c r="AB75" s="30">
        <f>AB73-AB74</f>
        <v>4346.8429999999998</v>
      </c>
    </row>
    <row r="77" spans="2:30" x14ac:dyDescent="0.2">
      <c r="B77" s="1" t="s">
        <v>3</v>
      </c>
      <c r="F77" s="44">
        <v>89.3</v>
      </c>
      <c r="J77" s="44">
        <v>98.28</v>
      </c>
      <c r="M77" s="1">
        <v>247.09</v>
      </c>
      <c r="N77" s="44">
        <v>338.5</v>
      </c>
      <c r="O77" s="1">
        <v>340.76</v>
      </c>
      <c r="P77" s="1">
        <v>394.16</v>
      </c>
      <c r="Q77" s="1">
        <v>319.05</v>
      </c>
      <c r="R77" s="1">
        <v>263.33999999999997</v>
      </c>
      <c r="S77" s="1">
        <v>164.81</v>
      </c>
      <c r="T77" s="1">
        <v>83.81</v>
      </c>
      <c r="U77" s="1">
        <v>69.14</v>
      </c>
      <c r="V77" s="107">
        <v>48.96</v>
      </c>
      <c r="Y77" s="44">
        <v>98.28</v>
      </c>
      <c r="Z77" s="44">
        <v>98.28</v>
      </c>
      <c r="AA77" s="44">
        <f>N77</f>
        <v>338.5</v>
      </c>
      <c r="AB77" s="1">
        <f>R77</f>
        <v>263.33999999999997</v>
      </c>
    </row>
    <row r="78" spans="2:30" x14ac:dyDescent="0.2">
      <c r="B78" s="1" t="s">
        <v>5</v>
      </c>
      <c r="F78" s="30">
        <f t="shared" ref="F78" si="104">F77*F20</f>
        <v>8878.0191844000001</v>
      </c>
      <c r="J78" s="30">
        <f t="shared" ref="J78" si="105">J77*J20</f>
        <v>13535.96464584</v>
      </c>
      <c r="M78" s="30">
        <f t="shared" ref="M78:T78" si="106">M77*M20</f>
        <v>36446.040621749999</v>
      </c>
      <c r="N78" s="30">
        <f t="shared" si="106"/>
        <v>53612.532779499998</v>
      </c>
      <c r="O78" s="30">
        <f t="shared" si="106"/>
        <v>56961.597668080001</v>
      </c>
      <c r="P78" s="30">
        <f t="shared" si="106"/>
        <v>68350.181163679998</v>
      </c>
      <c r="Q78" s="30">
        <f t="shared" si="106"/>
        <v>56545.641479250007</v>
      </c>
      <c r="R78" s="30">
        <f t="shared" si="106"/>
        <v>47120.661791279999</v>
      </c>
      <c r="S78" s="30">
        <f t="shared" si="106"/>
        <v>29813.916889529999</v>
      </c>
      <c r="T78" s="30">
        <f t="shared" si="106"/>
        <v>15282.57448184</v>
      </c>
      <c r="U78" s="30">
        <f t="shared" ref="U78:V78" si="107">U77*U20</f>
        <v>12700.503874960001</v>
      </c>
      <c r="V78" s="30">
        <f t="shared" si="107"/>
        <v>9063.5095699199992</v>
      </c>
      <c r="Y78" s="30">
        <f t="shared" ref="Y78" si="108">Y77*Y20</f>
        <v>9545.9697169200008</v>
      </c>
      <c r="Z78" s="30">
        <f>Z77*Z20</f>
        <v>12784.56176088</v>
      </c>
      <c r="AA78" s="30">
        <f>AA77*AA20</f>
        <v>49660.8824255</v>
      </c>
      <c r="AB78" s="30">
        <f>AB77*AB20</f>
        <v>45868.683653099994</v>
      </c>
    </row>
    <row r="79" spans="2:30" x14ac:dyDescent="0.2">
      <c r="B79" s="1" t="s">
        <v>9</v>
      </c>
      <c r="F79" s="30">
        <f t="shared" ref="F79" si="109">F78-F75</f>
        <v>8564.1721844000003</v>
      </c>
      <c r="J79" s="30">
        <f t="shared" ref="J79" si="110">J78-J75</f>
        <v>12197.13164584</v>
      </c>
      <c r="N79" s="30">
        <f t="shared" ref="N79" si="111">N78-N75</f>
        <v>50892.665779499999</v>
      </c>
      <c r="P79" s="30"/>
      <c r="Q79" s="30">
        <f t="shared" ref="Q79:R79" si="112">Q78-Q75</f>
        <v>52157.190479250006</v>
      </c>
      <c r="R79" s="30">
        <f t="shared" si="112"/>
        <v>42773.818791279999</v>
      </c>
      <c r="S79" s="30">
        <f t="shared" ref="S79" si="113">S78-S75</f>
        <v>25598.900889529999</v>
      </c>
      <c r="T79" s="30">
        <f>T78-T75</f>
        <v>11895.84448184</v>
      </c>
      <c r="U79" s="30">
        <f t="shared" ref="U79:V79" si="114">U78-U75</f>
        <v>9503.7858749600018</v>
      </c>
      <c r="V79" s="30">
        <f t="shared" si="114"/>
        <v>5917.1125699200002</v>
      </c>
      <c r="Y79" s="30">
        <f t="shared" ref="Y79" si="115">Y78-Y75</f>
        <v>9232.122716920001</v>
      </c>
      <c r="Z79" s="30">
        <f t="shared" ref="Z79:AA79" si="116">Z78-Z75</f>
        <v>11445.72876088</v>
      </c>
      <c r="AA79" s="30">
        <f t="shared" si="116"/>
        <v>46941.015425500002</v>
      </c>
      <c r="AB79" s="30">
        <f t="shared" ref="AB79" si="117">AB78-AB75</f>
        <v>41521.840653099993</v>
      </c>
    </row>
    <row r="81" spans="2:28" x14ac:dyDescent="0.2">
      <c r="B81" s="1" t="s">
        <v>103</v>
      </c>
      <c r="F81" s="37">
        <f>F77/F71</f>
        <v>20.258580862779098</v>
      </c>
      <c r="J81" s="37">
        <f>J77/J71</f>
        <v>3.1778958747676609</v>
      </c>
      <c r="N81" s="37">
        <f>N77/N71</f>
        <v>6.3426780523657325</v>
      </c>
      <c r="Q81" s="37">
        <f t="shared" ref="Q81" si="118">Q77/Q71</f>
        <v>5.1026746735277291</v>
      </c>
      <c r="R81" s="37">
        <f>R77/R71</f>
        <v>4.2714777701603754</v>
      </c>
      <c r="S81" s="37">
        <f>S77/S71</f>
        <v>2.730854120151688</v>
      </c>
      <c r="T81" s="37">
        <f>T77/T71</f>
        <v>1.4095721757702342</v>
      </c>
      <c r="U81" s="37">
        <f t="shared" ref="U81:V81" si="119">U77/U71</f>
        <v>1.206024019528078</v>
      </c>
      <c r="V81" s="37">
        <f t="shared" si="119"/>
        <v>0.85841329570026659</v>
      </c>
      <c r="Y81" s="37">
        <f t="shared" ref="Y81" si="120">Y77/Y71</f>
        <v>21.782764308921006</v>
      </c>
      <c r="Z81" s="37">
        <f t="shared" ref="Z81" si="121">Z77/Z71</f>
        <v>3.0124374838015551</v>
      </c>
      <c r="AA81" s="37">
        <f>AA77/AA71</f>
        <v>5.8751745663054189</v>
      </c>
      <c r="AB81" s="37">
        <f>AB77/AB71</f>
        <v>4.1579862235082805</v>
      </c>
    </row>
    <row r="82" spans="2:28" x14ac:dyDescent="0.2">
      <c r="B82" s="1" t="s">
        <v>105</v>
      </c>
      <c r="N82" s="37">
        <f>N78/SUM(K4:N4)</f>
        <v>53.82465574780209</v>
      </c>
      <c r="Q82" s="37">
        <f>Q78/SUM(N4:Q4)</f>
        <v>22.199267614739412</v>
      </c>
      <c r="R82" s="37">
        <f>R78/SUM(O4:R4)</f>
        <v>16.581045510065838</v>
      </c>
      <c r="S82" s="37">
        <f>S78/SUM(P4:S4)</f>
        <v>9.5336989696036145</v>
      </c>
      <c r="T82" s="37">
        <f>T78/SUM(Q4:T4)</f>
        <v>4.4927117390362339</v>
      </c>
      <c r="U82" s="37">
        <f>U78/SUM(R4:U4)</f>
        <v>3.4848498391023606</v>
      </c>
      <c r="V82" s="37">
        <f t="shared" ref="V82" si="122">V78/SUM(S4:V4)</f>
        <v>2.3687269233083157</v>
      </c>
      <c r="Y82" s="37">
        <f>Y78/Y4</f>
        <v>14.684593614073627</v>
      </c>
      <c r="Z82" s="37">
        <f>Z78/Z4</f>
        <v>11.269213200266556</v>
      </c>
      <c r="AA82" s="37">
        <f>AA78/AA4</f>
        <v>28.187966248546921</v>
      </c>
      <c r="AB82" s="37">
        <f>AB78/AB4</f>
        <v>16.140493410464138</v>
      </c>
    </row>
    <row r="83" spans="2:28" x14ac:dyDescent="0.2">
      <c r="B83" s="1" t="s">
        <v>104</v>
      </c>
      <c r="N83" s="37">
        <f t="shared" ref="N83" si="123">N77/SUM(K19:N19)</f>
        <v>-175.84216103089744</v>
      </c>
      <c r="Q83" s="37">
        <f t="shared" ref="Q83" si="124">Q77/SUM(N19:Q19)</f>
        <v>-64.500694009685063</v>
      </c>
      <c r="R83" s="37">
        <f t="shared" ref="R83:S83" si="125">R77/SUM(O19:R19)</f>
        <v>-48.385204422553002</v>
      </c>
      <c r="S83" s="37">
        <f t="shared" si="125"/>
        <v>-30.339872026893296</v>
      </c>
      <c r="T83" s="37">
        <f>T77/SUM(Q19:T19)</f>
        <v>-14.233498713981406</v>
      </c>
      <c r="U83" s="37">
        <f t="shared" ref="U83" si="126">U77/SUM(R19:U19)</f>
        <v>-9.5372734774675205</v>
      </c>
      <c r="V83" s="37">
        <f t="shared" ref="V83" si="127">V77/SUM(S19:V19)</f>
        <v>-7.1367589673809659</v>
      </c>
      <c r="Y83" s="37">
        <f t="shared" ref="Y83:Z83" si="128">Y77/Y19</f>
        <v>-78.278376345193479</v>
      </c>
      <c r="Z83" s="37">
        <f t="shared" si="128"/>
        <v>-41.634979665019884</v>
      </c>
      <c r="AA83" s="37">
        <f>AA77/AA19</f>
        <v>-101.14665276009771</v>
      </c>
      <c r="AB83" s="37">
        <f>AB77/AB19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  <hyperlink ref="V1" r:id="rId10" xr:uid="{B8CEE0E3-E143-44FB-A028-EFA8A79E601B}"/>
  </hyperlinks>
  <pageMargins left="0.7" right="0.7" top="0.75" bottom="0.75" header="0.3" footer="0.3"/>
  <pageSetup paperSize="256" orientation="portrait" horizontalDpi="203" verticalDpi="203" r:id="rId11"/>
  <ignoredErrors>
    <ignoredError sqref="Y47:AB47 Y61:AB65 Y53 AA53:AB53 Y51:AB52 Y50 AA50:AB50 Y49:AB49 Y48 AA48:AB48 Y54:AB58 W60:AB60 AD17:AM17 AC1 AC6 AC24:AC32 AC39:AC1048576 AC16" formula="1"/>
    <ignoredError sqref="N82:P82 S82 Q82:R82 T82 AC20 U82:V82" formulaRange="1"/>
    <ignoredError sqref="AC21:AC23 AC4:AC5 AC7:AC15 AC18 AC17" formula="1" formulaRange="1"/>
  </ignoredError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6796-81EF-41D6-8FE0-729185257088}">
  <dimension ref="A1:D73"/>
  <sheetViews>
    <sheetView workbookViewId="0">
      <selection activeCell="D18" sqref="D18"/>
    </sheetView>
  </sheetViews>
  <sheetFormatPr defaultRowHeight="12.75" x14ac:dyDescent="0.2"/>
  <cols>
    <col min="1" max="1" width="18.140625" style="1" bestFit="1" customWidth="1"/>
    <col min="2" max="2" width="9.140625" style="1"/>
    <col min="3" max="3" width="9.140625" style="51"/>
    <col min="4" max="4" width="9.140625" style="111"/>
    <col min="5" max="16384" width="9.140625" style="1"/>
  </cols>
  <sheetData>
    <row r="1" spans="1:4" x14ac:dyDescent="0.2">
      <c r="C1" s="48" t="s">
        <v>44</v>
      </c>
      <c r="D1" s="110" t="s">
        <v>44</v>
      </c>
    </row>
    <row r="2" spans="1:4" x14ac:dyDescent="0.2">
      <c r="C2" s="49"/>
    </row>
    <row r="3" spans="1:4" x14ac:dyDescent="0.2">
      <c r="C3" s="54" t="s">
        <v>1723</v>
      </c>
      <c r="D3" s="112">
        <v>42036</v>
      </c>
    </row>
    <row r="4" spans="1:4" x14ac:dyDescent="0.2">
      <c r="A4" s="29" t="s">
        <v>59</v>
      </c>
      <c r="C4" s="56">
        <v>1024.3747107660538</v>
      </c>
      <c r="D4" s="113">
        <v>1024.5740000000001</v>
      </c>
    </row>
    <row r="5" spans="1:4" x14ac:dyDescent="0.2">
      <c r="A5" s="1" t="s">
        <v>60</v>
      </c>
      <c r="C5" s="57">
        <v>481.5091548347703</v>
      </c>
      <c r="D5" s="114">
        <v>543.43200000000002</v>
      </c>
    </row>
    <row r="6" spans="1:4" x14ac:dyDescent="0.2">
      <c r="A6" s="2" t="s">
        <v>61</v>
      </c>
      <c r="C6" s="56">
        <v>542.86555593128355</v>
      </c>
      <c r="D6" s="113">
        <v>481.14200000000005</v>
      </c>
    </row>
    <row r="7" spans="1:4" x14ac:dyDescent="0.2">
      <c r="A7" s="1" t="s">
        <v>62</v>
      </c>
      <c r="C7" s="57">
        <v>286.82491901449509</v>
      </c>
      <c r="D7" s="114">
        <v>274.09399999999999</v>
      </c>
    </row>
    <row r="8" spans="1:4" x14ac:dyDescent="0.2">
      <c r="A8" s="1" t="s">
        <v>63</v>
      </c>
      <c r="C8" s="57">
        <v>338.04365455279776</v>
      </c>
      <c r="D8" s="114">
        <v>296.33499999999998</v>
      </c>
    </row>
    <row r="9" spans="1:4" x14ac:dyDescent="0.2">
      <c r="A9" s="1" t="s">
        <v>64</v>
      </c>
      <c r="C9" s="57">
        <v>138.29058595341726</v>
      </c>
      <c r="D9" s="114">
        <v>125.095</v>
      </c>
    </row>
    <row r="10" spans="1:4" x14ac:dyDescent="0.2">
      <c r="A10" s="1" t="s">
        <v>1717</v>
      </c>
      <c r="C10" s="57">
        <v>18.112749999999998</v>
      </c>
      <c r="D10" s="114">
        <v>4.1849999999999996</v>
      </c>
    </row>
    <row r="11" spans="1:4" x14ac:dyDescent="0.2">
      <c r="A11" s="1" t="s">
        <v>1718</v>
      </c>
      <c r="C11" s="57">
        <v>24.430499999999999</v>
      </c>
      <c r="D11" s="114">
        <v>0</v>
      </c>
    </row>
    <row r="12" spans="1:4" x14ac:dyDescent="0.2">
      <c r="A12" s="1" t="s">
        <v>65</v>
      </c>
      <c r="C12" s="57">
        <v>805.70240952071015</v>
      </c>
      <c r="D12" s="114">
        <v>699.70899999999995</v>
      </c>
    </row>
    <row r="13" spans="1:4" x14ac:dyDescent="0.2">
      <c r="A13" s="2" t="s">
        <v>66</v>
      </c>
      <c r="C13" s="56">
        <v>-262.8368535894266</v>
      </c>
      <c r="D13" s="113">
        <v>-218.56699999999989</v>
      </c>
    </row>
    <row r="14" spans="1:4" x14ac:dyDescent="0.2">
      <c r="A14" s="1" t="s">
        <v>67</v>
      </c>
      <c r="C14" s="57">
        <v>10.698</v>
      </c>
      <c r="D14" s="114">
        <v>21.9</v>
      </c>
    </row>
    <row r="15" spans="1:4" x14ac:dyDescent="0.2">
      <c r="A15" s="1" t="s">
        <v>1734</v>
      </c>
      <c r="C15" s="57">
        <v>0</v>
      </c>
      <c r="D15" s="114">
        <v>20.280999999999999</v>
      </c>
    </row>
    <row r="16" spans="1:4" x14ac:dyDescent="0.2">
      <c r="A16" s="1" t="s">
        <v>76</v>
      </c>
      <c r="C16" s="57">
        <v>-273.53485358942658</v>
      </c>
      <c r="D16" s="114">
        <v>-220.18599999999989</v>
      </c>
    </row>
    <row r="17" spans="1:4" x14ac:dyDescent="0.2">
      <c r="A17" s="1" t="s">
        <v>68</v>
      </c>
      <c r="C17" s="57">
        <v>2.735348535894266</v>
      </c>
      <c r="D17" s="114">
        <v>9.1969999999999992</v>
      </c>
    </row>
    <row r="18" spans="1:4" x14ac:dyDescent="0.2">
      <c r="A18" s="2" t="s">
        <v>70</v>
      </c>
      <c r="C18" s="56">
        <v>-276.27020212532085</v>
      </c>
      <c r="D18" s="113">
        <v>-229.3829999999999</v>
      </c>
    </row>
    <row r="19" spans="1:4" x14ac:dyDescent="0.2">
      <c r="A19" s="1" t="s">
        <v>69</v>
      </c>
      <c r="C19" s="62">
        <v>-1.5039814138873953</v>
      </c>
      <c r="D19" s="115">
        <v>-1.2390996659033839</v>
      </c>
    </row>
    <row r="20" spans="1:4" x14ac:dyDescent="0.2">
      <c r="A20" s="1" t="s">
        <v>4</v>
      </c>
      <c r="C20" s="61">
        <v>183.692564</v>
      </c>
      <c r="D20" s="116">
        <v>185.12070199999999</v>
      </c>
    </row>
    <row r="22" spans="1:4" x14ac:dyDescent="0.2">
      <c r="A22" s="2" t="s">
        <v>71</v>
      </c>
      <c r="C22" s="50"/>
      <c r="D22" s="117">
        <v>0.21575947144091212</v>
      </c>
    </row>
    <row r="23" spans="1:4" x14ac:dyDescent="0.2">
      <c r="A23" s="1" t="s">
        <v>72</v>
      </c>
      <c r="C23" s="58">
        <v>4.2058442535887863E-2</v>
      </c>
      <c r="D23" s="118">
        <v>4.2058442535887863E-2</v>
      </c>
    </row>
    <row r="25" spans="1:4" x14ac:dyDescent="0.2">
      <c r="A25" s="1" t="s">
        <v>73</v>
      </c>
      <c r="C25" s="58">
        <v>0.47005177868427206</v>
      </c>
      <c r="D25" s="118">
        <v>0.47005177868427206</v>
      </c>
    </row>
    <row r="26" spans="1:4" x14ac:dyDescent="0.2">
      <c r="A26" s="1" t="s">
        <v>74</v>
      </c>
      <c r="C26" s="58">
        <v>-0.25658272390663611</v>
      </c>
      <c r="D26" s="118">
        <v>-0.2133247574113728</v>
      </c>
    </row>
    <row r="27" spans="1:4" x14ac:dyDescent="0.2">
      <c r="A27" s="1" t="s">
        <v>75</v>
      </c>
      <c r="C27" s="58">
        <v>-0.26969642965777518</v>
      </c>
      <c r="D27" s="118">
        <v>-0.22388133995201898</v>
      </c>
    </row>
    <row r="28" spans="1:4" x14ac:dyDescent="0.2">
      <c r="A28" s="1" t="s">
        <v>68</v>
      </c>
      <c r="C28" s="58">
        <v>-0.01</v>
      </c>
      <c r="D28" s="118">
        <v>-0.01</v>
      </c>
    </row>
    <row r="30" spans="1:4" x14ac:dyDescent="0.2">
      <c r="A30" s="1" t="s">
        <v>77</v>
      </c>
      <c r="C30" s="58">
        <v>0.28477582884803554</v>
      </c>
      <c r="D30" s="118">
        <v>0.22775018029196104</v>
      </c>
    </row>
    <row r="31" spans="1:4" x14ac:dyDescent="0.2">
      <c r="A31" s="35" t="s">
        <v>78</v>
      </c>
      <c r="C31" s="63">
        <v>7.3398739687606795E-3</v>
      </c>
      <c r="D31" s="119">
        <v>-3.737159112859334E-2</v>
      </c>
    </row>
    <row r="34" spans="3:3" x14ac:dyDescent="0.2">
      <c r="C34" s="52"/>
    </row>
    <row r="35" spans="3:3" x14ac:dyDescent="0.2">
      <c r="C35" s="52"/>
    </row>
    <row r="36" spans="3:3" x14ac:dyDescent="0.2">
      <c r="C36" s="57"/>
    </row>
    <row r="37" spans="3:3" x14ac:dyDescent="0.2">
      <c r="C37" s="52"/>
    </row>
    <row r="42" spans="3:3" x14ac:dyDescent="0.2">
      <c r="C42" s="50"/>
    </row>
    <row r="43" spans="3:3" x14ac:dyDescent="0.2">
      <c r="C43" s="50"/>
    </row>
    <row r="61" spans="3:3" x14ac:dyDescent="0.2">
      <c r="C61" s="50"/>
    </row>
    <row r="62" spans="3:3" x14ac:dyDescent="0.2">
      <c r="C62" s="50"/>
    </row>
    <row r="72" spans="3:3" x14ac:dyDescent="0.2">
      <c r="C72" s="52"/>
    </row>
    <row r="73" spans="3:3" x14ac:dyDescent="0.2">
      <c r="C73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2023-02-15T22:09:23Z</dcterms:modified>
</cp:coreProperties>
</file>