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D1A4A0C-E4F3-4086-A007-5EFADC179102}" xr6:coauthVersionLast="36" xr6:coauthVersionMax="47" xr10:uidLastSave="{00000000-0000-0000-0000-000000000000}"/>
  <bookViews>
    <workbookView xWindow="-120" yWindow="-120" windowWidth="29040" windowHeight="15720" activeTab="1" xr2:uid="{F636B4A8-EC7C-4921-B859-E341E1291BEE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6" i="2" l="1"/>
  <c r="L85" i="2"/>
  <c r="L84" i="2"/>
  <c r="L83" i="2"/>
  <c r="L82" i="2"/>
  <c r="L79" i="2"/>
  <c r="L80" i="2" s="1"/>
  <c r="L71" i="2"/>
  <c r="L72" i="2" s="1"/>
  <c r="P66" i="2"/>
  <c r="O66" i="2"/>
  <c r="N66" i="2"/>
  <c r="M66" i="2"/>
  <c r="L66" i="2"/>
  <c r="L52" i="2"/>
  <c r="L74" i="2" s="1"/>
  <c r="L51" i="2"/>
  <c r="L48" i="2"/>
  <c r="L75" i="2"/>
  <c r="L60" i="2"/>
  <c r="M43" i="2"/>
  <c r="M42" i="2"/>
  <c r="M41" i="2"/>
  <c r="M37" i="2"/>
  <c r="M36" i="2"/>
  <c r="M35" i="2"/>
  <c r="L11" i="2"/>
  <c r="L13" i="2" s="1"/>
  <c r="L7" i="2"/>
  <c r="L55" i="2" l="1"/>
  <c r="L69" i="2"/>
  <c r="L18" i="2"/>
  <c r="L28" i="2"/>
  <c r="L19" i="2"/>
  <c r="L76" i="2"/>
  <c r="N79" i="2"/>
  <c r="M79" i="2"/>
  <c r="N75" i="2"/>
  <c r="N74" i="2"/>
  <c r="N76" i="2" s="1"/>
  <c r="M61" i="2"/>
  <c r="M75" i="2" s="1"/>
  <c r="M52" i="2"/>
  <c r="M74" i="2" s="1"/>
  <c r="N60" i="2"/>
  <c r="N69" i="2" s="1"/>
  <c r="M60" i="2"/>
  <c r="N51" i="2"/>
  <c r="N55" i="2" s="1"/>
  <c r="M48" i="2"/>
  <c r="M51" i="2" s="1"/>
  <c r="M55" i="2" s="1"/>
  <c r="N48" i="2"/>
  <c r="O43" i="2"/>
  <c r="N43" i="2"/>
  <c r="O42" i="2"/>
  <c r="N42" i="2"/>
  <c r="O41" i="2"/>
  <c r="N41" i="2"/>
  <c r="O37" i="2"/>
  <c r="N37" i="2"/>
  <c r="O36" i="2"/>
  <c r="N36" i="2"/>
  <c r="O35" i="2"/>
  <c r="N35" i="2"/>
  <c r="L22" i="2" l="1"/>
  <c r="L29" i="2"/>
  <c r="N71" i="2"/>
  <c r="N72" i="2" s="1"/>
  <c r="N82" i="2" s="1"/>
  <c r="M76" i="2"/>
  <c r="M80" i="2" s="1"/>
  <c r="N80" i="2"/>
  <c r="M69" i="2"/>
  <c r="N11" i="2"/>
  <c r="M11" i="2"/>
  <c r="N7" i="2"/>
  <c r="M7" i="2"/>
  <c r="M40" i="2" s="1"/>
  <c r="M13" i="2" l="1"/>
  <c r="M19" i="2" s="1"/>
  <c r="M34" i="2"/>
  <c r="M71" i="2"/>
  <c r="M72" i="2" s="1"/>
  <c r="M82" i="2" s="1"/>
  <c r="L24" i="2"/>
  <c r="L31" i="2"/>
  <c r="N40" i="2"/>
  <c r="N13" i="2"/>
  <c r="N19" i="2" s="1"/>
  <c r="N34" i="2"/>
  <c r="N83" i="2"/>
  <c r="M83" i="2"/>
  <c r="M18" i="2"/>
  <c r="M28" i="2"/>
  <c r="M84" i="2"/>
  <c r="N84" i="2"/>
  <c r="O79" i="2"/>
  <c r="P79" i="2"/>
  <c r="D11" i="1"/>
  <c r="D10" i="1"/>
  <c r="D9" i="1"/>
  <c r="D7" i="1"/>
  <c r="O75" i="2"/>
  <c r="O74" i="2"/>
  <c r="P75" i="2"/>
  <c r="C10" i="1" s="1"/>
  <c r="P74" i="2"/>
  <c r="C9" i="1" s="1"/>
  <c r="C11" i="1" s="1"/>
  <c r="O48" i="2"/>
  <c r="O51" i="2" s="1"/>
  <c r="O55" i="2" s="1"/>
  <c r="P48" i="2"/>
  <c r="P51" i="2" s="1"/>
  <c r="P55" i="2" s="1"/>
  <c r="O60" i="2"/>
  <c r="O69" i="2" s="1"/>
  <c r="P60" i="2"/>
  <c r="P69" i="2" s="1"/>
  <c r="P37" i="2"/>
  <c r="P36" i="2"/>
  <c r="P35" i="2"/>
  <c r="P43" i="2"/>
  <c r="P42" i="2"/>
  <c r="P41" i="2"/>
  <c r="O11" i="2"/>
  <c r="P11" i="2"/>
  <c r="P13" i="2" s="1"/>
  <c r="P18" i="2" s="1"/>
  <c r="O7" i="2"/>
  <c r="O40" i="2" s="1"/>
  <c r="P7" i="2"/>
  <c r="C8" i="1"/>
  <c r="P71" i="2" l="1"/>
  <c r="P72" i="2" s="1"/>
  <c r="C34" i="1" s="1"/>
  <c r="L25" i="2"/>
  <c r="L30" i="2"/>
  <c r="P40" i="2"/>
  <c r="O13" i="2"/>
  <c r="O18" i="2" s="1"/>
  <c r="O34" i="2"/>
  <c r="N22" i="2"/>
  <c r="N29" i="2"/>
  <c r="M22" i="2"/>
  <c r="M29" i="2"/>
  <c r="C35" i="1"/>
  <c r="N18" i="2"/>
  <c r="N28" i="2"/>
  <c r="O71" i="2"/>
  <c r="O72" i="2" s="1"/>
  <c r="O82" i="2" s="1"/>
  <c r="O76" i="2"/>
  <c r="O80" i="2" s="1"/>
  <c r="O84" i="2" s="1"/>
  <c r="P19" i="2"/>
  <c r="P28" i="2"/>
  <c r="O28" i="2"/>
  <c r="O19" i="2"/>
  <c r="P83" i="2"/>
  <c r="O83" i="2"/>
  <c r="P34" i="2"/>
  <c r="P76" i="2"/>
  <c r="P80" i="2" s="1"/>
  <c r="C12" i="1"/>
  <c r="P82" i="2" l="1"/>
  <c r="M24" i="2"/>
  <c r="M31" i="2"/>
  <c r="N24" i="2"/>
  <c r="N31" i="2"/>
  <c r="P84" i="2"/>
  <c r="C36" i="1"/>
  <c r="O29" i="2"/>
  <c r="O22" i="2"/>
  <c r="P29" i="2"/>
  <c r="P22" i="2"/>
  <c r="N30" i="2" l="1"/>
  <c r="N25" i="2"/>
  <c r="N85" i="2" s="1"/>
  <c r="N86" i="2"/>
  <c r="M30" i="2"/>
  <c r="M25" i="2"/>
  <c r="M85" i="2" s="1"/>
  <c r="M86" i="2"/>
  <c r="O31" i="2"/>
  <c r="O24" i="2"/>
  <c r="P24" i="2"/>
  <c r="P31" i="2"/>
  <c r="O25" i="2" l="1"/>
  <c r="O85" i="2" s="1"/>
  <c r="O30" i="2"/>
  <c r="O86" i="2"/>
  <c r="P25" i="2"/>
  <c r="P30" i="2"/>
  <c r="P86" i="2"/>
  <c r="C38" i="1"/>
  <c r="P85" i="2" l="1"/>
  <c r="C37" i="1"/>
</calcChain>
</file>

<file path=xl/sharedStrings.xml><?xml version="1.0" encoding="utf-8"?>
<sst xmlns="http://schemas.openxmlformats.org/spreadsheetml/2006/main" count="121" uniqueCount="99">
  <si>
    <t>£TRN</t>
  </si>
  <si>
    <t>Trainline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</si>
  <si>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</si>
  <si>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</si>
  <si>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</si>
  <si>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</si>
  <si>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</si>
  <si>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</si>
  <si>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</si>
  <si>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</si>
  <si>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</si>
  <si>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</si>
  <si>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</si>
  <si>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</si>
  <si>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</si>
  <si>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</si>
  <si>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</si>
  <si>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</si>
  <si>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IPO</t>
  </si>
  <si>
    <t>Update</t>
  </si>
  <si>
    <t>IR</t>
  </si>
  <si>
    <t>P/B</t>
  </si>
  <si>
    <t>P/S</t>
  </si>
  <si>
    <t>EV/S</t>
  </si>
  <si>
    <t>P/E</t>
  </si>
  <si>
    <t>EV/E</t>
  </si>
  <si>
    <t>Valuation Metrics</t>
  </si>
  <si>
    <t>Key Events</t>
  </si>
  <si>
    <t>Jody Ford</t>
  </si>
  <si>
    <t>Peter Wood</t>
  </si>
  <si>
    <t>London, UK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</si>
  <si>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</si>
  <si>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</si>
  <si>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</si>
  <si>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</si>
  <si>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</si>
  <si>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</si>
  <si>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</si>
  <si>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</si>
  <si>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</si>
  <si>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Link</t>
  </si>
  <si>
    <t>International</t>
  </si>
  <si>
    <t>UK</t>
  </si>
  <si>
    <t>Trainline Solutions</t>
  </si>
  <si>
    <t>Group Ticket Sales</t>
  </si>
  <si>
    <t>UK Revenue</t>
  </si>
  <si>
    <t xml:space="preserve">International </t>
  </si>
  <si>
    <t>Group Revenue</t>
  </si>
  <si>
    <t>Revenue Y/Y</t>
  </si>
  <si>
    <t>Revenue H/H</t>
  </si>
  <si>
    <t>Ticket Sales Y/Y</t>
  </si>
  <si>
    <t>Administrative</t>
  </si>
  <si>
    <t>Operating Profit</t>
  </si>
  <si>
    <t>D&amp;A</t>
  </si>
  <si>
    <t>Share-baed Payments</t>
  </si>
  <si>
    <t>Gross Profit</t>
  </si>
  <si>
    <t>COGS</t>
  </si>
  <si>
    <t>Adjusted EBITDA</t>
  </si>
  <si>
    <t>Finance Income</t>
  </si>
  <si>
    <t>Finance Costs</t>
  </si>
  <si>
    <t>Pretax Income</t>
  </si>
  <si>
    <t>Taxes</t>
  </si>
  <si>
    <t>Net Income</t>
  </si>
  <si>
    <t>EPS</t>
  </si>
  <si>
    <t>UK Tickets Y/Y</t>
  </si>
  <si>
    <t>Intl. Tickets Y/Y</t>
  </si>
  <si>
    <t>Trainline Tickets Y/Y</t>
  </si>
  <si>
    <t>UK Rev. Y/Y</t>
  </si>
  <si>
    <t>Intl. Rev. Y/Y</t>
  </si>
  <si>
    <t>Trainline.S Rev. Y/Y</t>
  </si>
  <si>
    <t>Gross Margin</t>
  </si>
  <si>
    <t>Operating Margin</t>
  </si>
  <si>
    <t>Net Margin</t>
  </si>
  <si>
    <t>Tax Margin</t>
  </si>
  <si>
    <t>Balance Sheet</t>
  </si>
  <si>
    <t>Goodwill+Intangibles</t>
  </si>
  <si>
    <t>PP&amp;E</t>
  </si>
  <si>
    <t>Deferred Taxes</t>
  </si>
  <si>
    <t>Total NCA</t>
  </si>
  <si>
    <t xml:space="preserve">Cash </t>
  </si>
  <si>
    <t>Trade &amp; A/R</t>
  </si>
  <si>
    <t>Tax Receivables</t>
  </si>
  <si>
    <t>Assets</t>
  </si>
  <si>
    <t>Trade &amp; A/P</t>
  </si>
  <si>
    <t>Loans &amp; Borrowings</t>
  </si>
  <si>
    <t>Curent Tax Payable</t>
  </si>
  <si>
    <t>TCL</t>
  </si>
  <si>
    <t>Provisions</t>
  </si>
  <si>
    <t>Liabilities</t>
  </si>
  <si>
    <t>S/E</t>
  </si>
  <si>
    <t>S/E+L</t>
  </si>
  <si>
    <t>Book Value</t>
  </si>
  <si>
    <t>Book Value per Share</t>
  </si>
  <si>
    <t xml:space="preserve">UK Government announce closure of almost all ticket stations across England </t>
  </si>
  <si>
    <t>Share Price</t>
  </si>
  <si>
    <t>Exceptional Items</t>
  </si>
  <si>
    <t>-</t>
  </si>
  <si>
    <t>Other NCL</t>
  </si>
  <si>
    <t>Share-Based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</si>
</sst>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00"/>
    <numFmt numFmtId="166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1" applyFont="1" applyAlignment="1">
      <alignment horizontal="right"/>
    </xf>
    <xf numFmtId="16" fontId="4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left" indent="1"/>
    </xf>
    <xf numFmtId="3" fontId="3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3" fontId="7" fillId="0" borderId="0" xfId="0" applyNumberFormat="1" applyFont="1"/>
    <xf numFmtId="14" fontId="4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left" indent="1"/>
    </xf>
    <xf numFmtId="0" fontId="9" fillId="0" borderId="0" xfId="0" applyFont="1"/>
    <xf numFmtId="9" fontId="9" fillId="0" borderId="0" xfId="0" applyNumberFormat="1" applyFont="1"/>
    <xf numFmtId="4" fontId="1" fillId="0" borderId="0" xfId="0" applyNumberFormat="1" applyFont="1"/>
    <xf numFmtId="0" fontId="10" fillId="0" borderId="0" xfId="0" applyFont="1"/>
    <xf numFmtId="164" fontId="2" fillId="0" borderId="0" xfId="0" applyNumberFormat="1" applyFont="1"/>
    <xf numFmtId="165" fontId="1" fillId="0" borderId="0" xfId="0" applyNumberFormat="1" applyFont="1"/>
    <xf numFmtId="16" fontId="1" fillId="4" borderId="5" xfId="0" applyNumberFormat="1" applyFont="1" applyFill="1" applyBorder="1" applyAlignment="1">
      <alignment horizontal="center"/>
    </xf>
    <xf numFmtId="164" fontId="8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0" fontId="6" fillId="4" borderId="0" xfId="1" applyFont="1" applyFill="1" applyBorder="1"/>
    <xf numFmtId="166" fontId="1" fillId="0" borderId="0" xfId="0" applyNumberFormat="1" applyFont="1"/>
    <xf numFmtId="166" fontId="3" fillId="0" borderId="0" xfId="0" applyNumberFormat="1" applyFont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66" fontId="1" fillId="4" borderId="7" xfId="0" applyNumberFormat="1" applyFont="1" applyFill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9" fontId="2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0</xdr:row>
      <xdr:rowOff>57150</xdr:rowOff>
    </xdr:from>
    <xdr:to>
      <xdr:col>4</xdr:col>
      <xdr:colOff>133350</xdr:colOff>
      <xdr:row>3</xdr:row>
      <xdr:rowOff>66675</xdr:rowOff>
    </xdr:to>
    <xdr:pic>
      <xdr:nvPicPr>
        <xdr:cNvPr id="4" name="Picture 3" descr="C:\Users\me\AppData\Local\Microsoft\Windows\INetCache\Content.MSO\195A6A4B.tmp">
          <a:extLst>
            <a:ext uri="{FF2B5EF4-FFF2-40B4-BE49-F238E27FC236}">
              <a16:creationId xmlns:a16="http://schemas.microsoft.com/office/drawing/2014/main" id="{10A0B1D8-1258-4CAB-8D8D-787B85016986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29" b="23529"/>
        <a:stretch/>
      </xdr:blipFill>
      <xdr:spPr bwMode="auto">
        <a:xfrm>
          <a:off x="1647825" y="57150"/>
          <a:ext cx="923925" cy="495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0</xdr:rowOff>
    </xdr:from>
    <xdr:to>
      <xdr:col>16</xdr:col>
      <xdr:colOff>19050</xdr:colOff>
      <xdr:row>116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E919AE0-1FF5-40AB-91AB-526EBD3D6E6E}"/>
            </a:ext>
          </a:extLst>
        </xdr:cNvPr>
        <xdr:cNvCxnSpPr/>
      </xdr:nvCxnSpPr>
      <xdr:spPr>
        <a:xfrm>
          <a:off x="11849100" y="0"/>
          <a:ext cx="0" cy="16878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ews.sky.com/story/nearly-every-railway-ticket-office-in-england-set-to-close-under-new-plans-12915187" TargetMode="External"/><Relationship Id="rId1" Type="http://schemas.openxmlformats.org/officeDocument/2006/relationships/hyperlink" Target="https://www.trainlinegroup.com/investor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rn-13455-s3.s3.eu-west-2.amazonaws.com/media/7316/8546/4076/Trainline_plc_-_FY2023_Annual_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5A43-DB78-4C0E-810B-60F814142135}">
  <dimension ref="B2:O38"/>
  <sheetViews>
    <sheetView workbookViewId="0">
      <selection activeCell="C30" sqref="C30:D30"/>
    </sheetView>
  </sheetViews>
  <sheetFormatPr defaultRowHeight="12.75" x14ac:dyDescent="0.2"/>
  <cols>
    <col min="1" max="16384" width="9.140625" style="1"/>
  </cols>
  <sheetData>
    <row r="2" spans="2:15" x14ac:dyDescent="0.2">
      <c r="B2" s="2" t="s">
        <v>0</v>
      </c>
    </row>
    <row r="3" spans="2:15" x14ac:dyDescent="0.2">
      <c r="B3" s="2" t="s">
        <v>1</v>
      </c>
    </row>
    <row r="5" spans="2:15" x14ac:dyDescent="0.2">
      <c r="B5" s="47" t="s">
        <v>2</v>
      </c>
      <c r="C5" s="48"/>
      <c r="D5" s="49"/>
      <c r="F5" s="47" t="s">
        <v>27</v>
      </c>
      <c r="G5" s="48"/>
      <c r="H5" s="48"/>
      <c r="I5" s="48"/>
      <c r="J5" s="48"/>
      <c r="K5" s="48"/>
      <c r="L5" s="48"/>
      <c r="M5" s="48"/>
      <c r="N5" s="48"/>
      <c r="O5" s="49"/>
    </row>
    <row r="6" spans="2:15" x14ac:dyDescent="0.2">
      <c r="B6" s="3" t="s">
        <v>3</v>
      </c>
      <c r="C6" s="1">
        <v>2.1640000000000001</v>
      </c>
      <c r="D6" s="14"/>
      <c r="F6" s="8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">
      <c r="B7" s="3" t="s">
        <v>4</v>
      </c>
      <c r="C7" s="16">
        <v>480.68</v>
      </c>
      <c r="D7" s="14" t="str">
        <f>+$C$29</f>
        <v>FY23</v>
      </c>
      <c r="F7" s="8"/>
      <c r="G7" s="10"/>
      <c r="H7" s="10"/>
      <c r="I7" s="10"/>
      <c r="J7" s="10"/>
      <c r="K7" s="10"/>
      <c r="L7" s="10"/>
      <c r="M7" s="10"/>
      <c r="N7" s="10"/>
      <c r="O7" s="11"/>
    </row>
    <row r="8" spans="2:15" x14ac:dyDescent="0.2">
      <c r="B8" s="3" t="s">
        <v>5</v>
      </c>
      <c r="C8" s="16">
        <f>C6*C7</f>
        <v>1040.1915200000001</v>
      </c>
      <c r="D8" s="14"/>
      <c r="F8" s="8"/>
      <c r="G8" s="10"/>
      <c r="H8" s="10"/>
      <c r="I8" s="10"/>
      <c r="J8" s="10"/>
      <c r="K8" s="10"/>
      <c r="L8" s="10"/>
      <c r="M8" s="10"/>
      <c r="N8" s="10"/>
      <c r="O8" s="11"/>
    </row>
    <row r="9" spans="2:15" x14ac:dyDescent="0.2">
      <c r="B9" s="3" t="s">
        <v>6</v>
      </c>
      <c r="C9" s="16">
        <f>+'Financial Model'!P74</f>
        <v>57.337000000000003</v>
      </c>
      <c r="D9" s="14" t="str">
        <f t="shared" ref="D9:D11" si="0">+$C$29</f>
        <v>FY23</v>
      </c>
      <c r="F9" s="41">
        <v>45108</v>
      </c>
      <c r="G9" s="42" t="s">
        <v>93</v>
      </c>
      <c r="H9" s="10"/>
      <c r="I9" s="10"/>
      <c r="J9" s="10"/>
      <c r="K9" s="10"/>
      <c r="L9" s="10"/>
      <c r="M9" s="10"/>
      <c r="N9" s="10"/>
      <c r="O9" s="11"/>
    </row>
    <row r="10" spans="2:15" x14ac:dyDescent="0.2">
      <c r="B10" s="3" t="s">
        <v>7</v>
      </c>
      <c r="C10" s="16">
        <f>+'Financial Model'!P75</f>
        <v>153.905</v>
      </c>
      <c r="D10" s="14" t="str">
        <f t="shared" si="0"/>
        <v>FY23</v>
      </c>
      <c r="F10" s="8"/>
      <c r="G10" s="10"/>
      <c r="H10" s="10"/>
      <c r="I10" s="10"/>
      <c r="J10" s="10"/>
      <c r="K10" s="10"/>
      <c r="L10" s="10"/>
      <c r="M10" s="10"/>
      <c r="N10" s="10"/>
      <c r="O10" s="11"/>
    </row>
    <row r="11" spans="2:15" x14ac:dyDescent="0.2">
      <c r="B11" s="3" t="s">
        <v>8</v>
      </c>
      <c r="C11" s="16">
        <f>C9-C10</f>
        <v>-96.567999999999998</v>
      </c>
      <c r="D11" s="14" t="str">
        <f t="shared" si="0"/>
        <v>FY23</v>
      </c>
      <c r="F11" s="8"/>
      <c r="G11" s="10"/>
      <c r="H11" s="10"/>
      <c r="I11" s="10"/>
      <c r="J11" s="10"/>
      <c r="K11" s="10"/>
      <c r="L11" s="10"/>
      <c r="M11" s="10"/>
      <c r="N11" s="10"/>
      <c r="O11" s="11"/>
    </row>
    <row r="12" spans="2:15" x14ac:dyDescent="0.2">
      <c r="B12" s="4" t="s">
        <v>9</v>
      </c>
      <c r="C12" s="17">
        <f>C8-C11</f>
        <v>1136.7595200000001</v>
      </c>
      <c r="D12" s="15"/>
      <c r="F12" s="8"/>
      <c r="G12" s="10"/>
      <c r="H12" s="10"/>
      <c r="I12" s="10"/>
      <c r="J12" s="10"/>
      <c r="K12" s="10"/>
      <c r="L12" s="10"/>
      <c r="M12" s="10"/>
      <c r="N12" s="10"/>
      <c r="O12" s="11"/>
    </row>
    <row r="13" spans="2:15" x14ac:dyDescent="0.2">
      <c r="F13" s="8"/>
      <c r="G13" s="10"/>
      <c r="H13" s="10"/>
      <c r="I13" s="10"/>
      <c r="J13" s="10"/>
      <c r="K13" s="10"/>
      <c r="L13" s="10"/>
      <c r="M13" s="10"/>
      <c r="N13" s="10"/>
      <c r="O13" s="11"/>
    </row>
    <row r="14" spans="2:15" x14ac:dyDescent="0.2">
      <c r="F14" s="8"/>
      <c r="G14" s="10"/>
      <c r="H14" s="10"/>
      <c r="I14" s="10"/>
      <c r="J14" s="10"/>
      <c r="K14" s="10"/>
      <c r="L14" s="10"/>
      <c r="M14" s="10"/>
      <c r="N14" s="10"/>
      <c r="O14" s="11"/>
    </row>
    <row r="15" spans="2:15" x14ac:dyDescent="0.2">
      <c r="B15" s="47" t="s">
        <v>10</v>
      </c>
      <c r="C15" s="48"/>
      <c r="D15" s="49"/>
      <c r="F15" s="8"/>
      <c r="G15" s="10"/>
      <c r="H15" s="10"/>
      <c r="I15" s="10"/>
      <c r="J15" s="10"/>
      <c r="K15" s="10"/>
      <c r="L15" s="10"/>
      <c r="M15" s="10"/>
      <c r="N15" s="10"/>
      <c r="O15" s="11"/>
    </row>
    <row r="16" spans="2:15" x14ac:dyDescent="0.2">
      <c r="B16" s="5" t="s">
        <v>11</v>
      </c>
      <c r="C16" s="45" t="s">
        <v>28</v>
      </c>
      <c r="D16" s="46"/>
      <c r="F16" s="8"/>
      <c r="G16" s="10"/>
      <c r="H16" s="10"/>
      <c r="I16" s="10"/>
      <c r="J16" s="10"/>
      <c r="K16" s="10"/>
      <c r="L16" s="10"/>
      <c r="M16" s="10"/>
      <c r="N16" s="10"/>
      <c r="O16" s="11"/>
    </row>
    <row r="17" spans="2:15" x14ac:dyDescent="0.2">
      <c r="B17" s="5" t="s">
        <v>12</v>
      </c>
      <c r="C17" s="45" t="s">
        <v>29</v>
      </c>
      <c r="D17" s="46"/>
      <c r="F17" s="8"/>
      <c r="G17" s="10"/>
      <c r="H17" s="10"/>
      <c r="I17" s="10"/>
      <c r="J17" s="10"/>
      <c r="K17" s="10"/>
      <c r="L17" s="10"/>
      <c r="M17" s="10"/>
      <c r="N17" s="10"/>
      <c r="O17" s="11"/>
    </row>
    <row r="18" spans="2:15" x14ac:dyDescent="0.2">
      <c r="B18" s="5" t="s">
        <v>13</v>
      </c>
      <c r="C18" s="45"/>
      <c r="D18" s="46"/>
      <c r="F18" s="8"/>
      <c r="G18" s="10"/>
      <c r="H18" s="10"/>
      <c r="I18" s="10"/>
      <c r="J18" s="10"/>
      <c r="K18" s="10"/>
      <c r="L18" s="10"/>
      <c r="M18" s="10"/>
      <c r="N18" s="10"/>
      <c r="O18" s="11"/>
    </row>
    <row r="19" spans="2:15" x14ac:dyDescent="0.2">
      <c r="B19" s="7" t="s">
        <v>14</v>
      </c>
      <c r="C19" s="50"/>
      <c r="D19" s="51"/>
      <c r="F19" s="8"/>
      <c r="G19" s="10"/>
      <c r="H19" s="10"/>
      <c r="I19" s="10"/>
      <c r="J19" s="10"/>
      <c r="K19" s="10"/>
      <c r="L19" s="10"/>
      <c r="M19" s="10"/>
      <c r="N19" s="10"/>
      <c r="O19" s="11"/>
    </row>
    <row r="20" spans="2:15" x14ac:dyDescent="0.2">
      <c r="F20" s="8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">
      <c r="F21" s="8"/>
      <c r="G21" s="10"/>
      <c r="H21" s="10"/>
      <c r="I21" s="10"/>
      <c r="J21" s="10"/>
      <c r="K21" s="10"/>
      <c r="L21" s="10"/>
      <c r="M21" s="10"/>
      <c r="N21" s="10"/>
      <c r="O21" s="11"/>
    </row>
    <row r="22" spans="2:15" x14ac:dyDescent="0.2">
      <c r="B22" s="47" t="s">
        <v>15</v>
      </c>
      <c r="C22" s="48"/>
      <c r="D22" s="49"/>
      <c r="F22" s="8"/>
      <c r="G22" s="10"/>
      <c r="H22" s="10"/>
      <c r="I22" s="10"/>
      <c r="J22" s="10"/>
      <c r="K22" s="10"/>
      <c r="L22" s="10"/>
      <c r="M22" s="10"/>
      <c r="N22" s="10"/>
      <c r="O22" s="11"/>
    </row>
    <row r="23" spans="2:15" x14ac:dyDescent="0.2">
      <c r="B23" s="8" t="s">
        <v>16</v>
      </c>
      <c r="C23" s="45" t="s">
        <v>30</v>
      </c>
      <c r="D23" s="46"/>
      <c r="F23" s="8"/>
      <c r="G23" s="10"/>
      <c r="H23" s="10"/>
      <c r="I23" s="10"/>
      <c r="J23" s="10"/>
      <c r="K23" s="10"/>
      <c r="L23" s="10"/>
      <c r="M23" s="10"/>
      <c r="N23" s="10"/>
      <c r="O23" s="11"/>
    </row>
    <row r="24" spans="2:15" x14ac:dyDescent="0.2">
      <c r="B24" s="8" t="s">
        <v>17</v>
      </c>
      <c r="C24" s="45">
        <v>1997</v>
      </c>
      <c r="D24" s="46"/>
      <c r="F24" s="8"/>
      <c r="G24" s="10"/>
      <c r="H24" s="10"/>
      <c r="I24" s="10"/>
      <c r="J24" s="10"/>
      <c r="K24" s="10"/>
      <c r="L24" s="10"/>
      <c r="M24" s="10"/>
      <c r="N24" s="10"/>
      <c r="O24" s="11"/>
    </row>
    <row r="25" spans="2:15" x14ac:dyDescent="0.2">
      <c r="B25" s="8" t="s">
        <v>18</v>
      </c>
      <c r="C25" s="45">
        <v>2019</v>
      </c>
      <c r="D25" s="46"/>
      <c r="F25" s="8"/>
      <c r="G25" s="10"/>
      <c r="H25" s="10"/>
      <c r="I25" s="10"/>
      <c r="J25" s="10"/>
      <c r="K25" s="10"/>
      <c r="L25" s="10"/>
      <c r="M25" s="10"/>
      <c r="N25" s="10"/>
      <c r="O25" s="11"/>
    </row>
    <row r="26" spans="2:15" x14ac:dyDescent="0.2">
      <c r="B26" s="8"/>
      <c r="C26" s="45"/>
      <c r="D26" s="46"/>
      <c r="F26" s="8"/>
      <c r="G26" s="10"/>
      <c r="H26" s="10"/>
      <c r="I26" s="10"/>
      <c r="J26" s="10"/>
      <c r="K26" s="10"/>
      <c r="L26" s="10"/>
      <c r="M26" s="10"/>
      <c r="N26" s="10"/>
      <c r="O26" s="11"/>
    </row>
    <row r="27" spans="2:15" x14ac:dyDescent="0.2">
      <c r="B27" s="8"/>
      <c r="C27" s="45"/>
      <c r="D27" s="46"/>
      <c r="F27" s="8"/>
      <c r="G27" s="10"/>
      <c r="H27" s="10"/>
      <c r="I27" s="10"/>
      <c r="J27" s="10"/>
      <c r="K27" s="10"/>
      <c r="L27" s="10"/>
      <c r="M27" s="10"/>
      <c r="N27" s="10"/>
      <c r="O27" s="11"/>
    </row>
    <row r="28" spans="2:15" x14ac:dyDescent="0.2">
      <c r="B28" s="8"/>
      <c r="C28" s="45"/>
      <c r="D28" s="46"/>
      <c r="F28" s="8"/>
      <c r="G28" s="10"/>
      <c r="H28" s="10"/>
      <c r="I28" s="10"/>
      <c r="J28" s="10"/>
      <c r="K28" s="10"/>
      <c r="L28" s="10"/>
      <c r="M28" s="10"/>
      <c r="N28" s="10"/>
      <c r="O28" s="11"/>
    </row>
    <row r="29" spans="2:15" x14ac:dyDescent="0.2">
      <c r="B29" s="8" t="s">
        <v>19</v>
      </c>
      <c r="C29" s="6" t="s">
        <v>35</v>
      </c>
      <c r="D29" s="39">
        <v>45050</v>
      </c>
      <c r="F29" s="8"/>
      <c r="G29" s="10"/>
      <c r="H29" s="10"/>
      <c r="I29" s="10"/>
      <c r="J29" s="10"/>
      <c r="K29" s="10"/>
      <c r="L29" s="10"/>
      <c r="M29" s="10"/>
      <c r="N29" s="10"/>
      <c r="O29" s="11"/>
    </row>
    <row r="30" spans="2:15" x14ac:dyDescent="0.2">
      <c r="B30" s="9" t="s">
        <v>20</v>
      </c>
      <c r="C30" s="56" t="s">
        <v>40</v>
      </c>
      <c r="D30" s="57"/>
      <c r="F30" s="9"/>
      <c r="G30" s="12"/>
      <c r="H30" s="12"/>
      <c r="I30" s="12"/>
      <c r="J30" s="12"/>
      <c r="K30" s="12"/>
      <c r="L30" s="12"/>
      <c r="M30" s="12"/>
      <c r="N30" s="12"/>
      <c r="O30" s="13"/>
    </row>
    <row r="33" spans="2:4" x14ac:dyDescent="0.2">
      <c r="B33" s="47" t="s">
        <v>26</v>
      </c>
      <c r="C33" s="48"/>
      <c r="D33" s="49"/>
    </row>
    <row r="34" spans="2:4" x14ac:dyDescent="0.2">
      <c r="B34" s="8" t="s">
        <v>21</v>
      </c>
      <c r="C34" s="52">
        <f>C6/'Financial Model'!P72</f>
        <v>3.490808824981765</v>
      </c>
      <c r="D34" s="53"/>
    </row>
    <row r="35" spans="2:4" x14ac:dyDescent="0.2">
      <c r="B35" s="8" t="s">
        <v>22</v>
      </c>
      <c r="C35" s="52">
        <f>C8/'Financial Model'!P11</f>
        <v>3.1810138226299696</v>
      </c>
      <c r="D35" s="53"/>
    </row>
    <row r="36" spans="2:4" x14ac:dyDescent="0.2">
      <c r="B36" s="8" t="s">
        <v>23</v>
      </c>
      <c r="C36" s="52">
        <f>C12/'Financial Model'!P11</f>
        <v>3.4763288073394496</v>
      </c>
      <c r="D36" s="53"/>
    </row>
    <row r="37" spans="2:4" x14ac:dyDescent="0.2">
      <c r="B37" s="8" t="s">
        <v>24</v>
      </c>
      <c r="C37" s="52">
        <f>C6/'Financial Model'!P25</f>
        <v>48.152949222971074</v>
      </c>
      <c r="D37" s="53"/>
    </row>
    <row r="38" spans="2:4" x14ac:dyDescent="0.2">
      <c r="B38" s="9" t="s">
        <v>25</v>
      </c>
      <c r="C38" s="54">
        <f>C12/'Financial Model'!P24</f>
        <v>53.951567157095418</v>
      </c>
      <c r="D38" s="55"/>
    </row>
  </sheetData>
  <mergeCells count="21">
    <mergeCell ref="C35:D35"/>
    <mergeCell ref="C36:D36"/>
    <mergeCell ref="C37:D37"/>
    <mergeCell ref="C38:D38"/>
    <mergeCell ref="C28:D28"/>
    <mergeCell ref="C30:D30"/>
    <mergeCell ref="B33:D33"/>
    <mergeCell ref="C34:D34"/>
    <mergeCell ref="F5:O5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19:D19"/>
  </mergeCells>
  <hyperlinks>
    <hyperlink ref="C30:D30" r:id="rId1" display="Link" xr:uid="{8A9A44CE-F7EB-4D03-AE15-02B36DE46C07}"/>
    <hyperlink ref="G9" r:id="rId2" xr:uid="{92206B8B-7017-47B4-B18C-098AD22D6333}"/>
  </hyperlinks>
  <pageMargins left="0.7" right="0.7" top="0.75" bottom="0.75" header="0.3" footer="0.3"/>
  <pageSetup paperSize="125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AB1B-C495-4E48-B467-D577C7D7AF48}">
  <dimension ref="B1:T86"/>
  <sheetViews>
    <sheetView tabSelected="1" workbookViewId="0">
      <pane xSplit="2" ySplit="3" topLeftCell="C63" activePane="bottomRight" state="frozen"/>
      <selection pane="topRight" activeCell="C1" sqref="C1"/>
      <selection pane="bottomLeft" activeCell="A4" sqref="A4"/>
      <selection pane="bottomRight" activeCell="M82" sqref="L82:M86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16384" width="9.140625" style="1"/>
  </cols>
  <sheetData>
    <row r="1" spans="2:20" s="20" customFormat="1" x14ac:dyDescent="0.2">
      <c r="L1" s="20" t="s">
        <v>31</v>
      </c>
      <c r="M1" s="20" t="s">
        <v>32</v>
      </c>
      <c r="N1" s="20" t="s">
        <v>33</v>
      </c>
      <c r="O1" s="20" t="s">
        <v>34</v>
      </c>
      <c r="P1" s="21" t="s">
        <v>35</v>
      </c>
      <c r="Q1" s="20" t="s">
        <v>36</v>
      </c>
      <c r="R1" s="20" t="s">
        <v>37</v>
      </c>
      <c r="S1" s="20" t="s">
        <v>38</v>
      </c>
      <c r="T1" s="20" t="s">
        <v>39</v>
      </c>
    </row>
    <row r="2" spans="2:20" s="19" customFormat="1" x14ac:dyDescent="0.2">
      <c r="B2" s="18"/>
      <c r="O2" s="30">
        <v>44620</v>
      </c>
      <c r="P2" s="30">
        <v>44985</v>
      </c>
    </row>
    <row r="3" spans="2:20" s="19" customFormat="1" x14ac:dyDescent="0.2">
      <c r="B3" s="18"/>
      <c r="P3" s="22">
        <v>45050</v>
      </c>
    </row>
    <row r="4" spans="2:20" s="24" customFormat="1" x14ac:dyDescent="0.2">
      <c r="B4" s="23" t="s">
        <v>42</v>
      </c>
      <c r="L4" s="24">
        <v>1648</v>
      </c>
      <c r="M4" s="24">
        <v>2046</v>
      </c>
      <c r="N4" s="24">
        <v>473</v>
      </c>
      <c r="O4" s="24">
        <v>1812</v>
      </c>
      <c r="P4" s="24">
        <v>2811</v>
      </c>
    </row>
    <row r="5" spans="2:20" s="24" customFormat="1" x14ac:dyDescent="0.2">
      <c r="B5" s="23" t="s">
        <v>41</v>
      </c>
      <c r="L5" s="24">
        <v>349</v>
      </c>
      <c r="M5" s="24">
        <v>490</v>
      </c>
      <c r="N5" s="24">
        <v>235</v>
      </c>
      <c r="O5" s="24">
        <v>407</v>
      </c>
      <c r="P5" s="24">
        <v>915</v>
      </c>
    </row>
    <row r="6" spans="2:20" s="24" customFormat="1" x14ac:dyDescent="0.2">
      <c r="B6" s="23" t="s">
        <v>43</v>
      </c>
      <c r="L6" s="24">
        <v>1198</v>
      </c>
      <c r="M6" s="24">
        <v>1191</v>
      </c>
      <c r="N6" s="24">
        <v>75</v>
      </c>
      <c r="O6" s="24">
        <v>302</v>
      </c>
      <c r="P6" s="24">
        <v>597</v>
      </c>
    </row>
    <row r="7" spans="2:20" s="26" customFormat="1" x14ac:dyDescent="0.2">
      <c r="B7" s="26" t="s">
        <v>44</v>
      </c>
      <c r="L7" s="26">
        <f t="shared" ref="L7:N7" si="0">SUM(L4:L6)</f>
        <v>3195</v>
      </c>
      <c r="M7" s="26">
        <f t="shared" si="0"/>
        <v>3727</v>
      </c>
      <c r="N7" s="26">
        <f t="shared" si="0"/>
        <v>783</v>
      </c>
      <c r="O7" s="26">
        <f>SUM(O4:O6)</f>
        <v>2521</v>
      </c>
      <c r="P7" s="26">
        <f>SUM(P4:P6)</f>
        <v>4323</v>
      </c>
    </row>
    <row r="8" spans="2:20" s="24" customFormat="1" x14ac:dyDescent="0.2">
      <c r="B8" s="23" t="s">
        <v>45</v>
      </c>
      <c r="L8" s="24">
        <v>137</v>
      </c>
      <c r="M8" s="24">
        <v>178</v>
      </c>
      <c r="N8" s="24">
        <v>44</v>
      </c>
      <c r="O8" s="24">
        <v>109</v>
      </c>
      <c r="P8" s="24">
        <v>172</v>
      </c>
    </row>
    <row r="9" spans="2:20" s="24" customFormat="1" x14ac:dyDescent="0.2">
      <c r="B9" s="23" t="s">
        <v>46</v>
      </c>
      <c r="L9" s="24">
        <v>14</v>
      </c>
      <c r="M9" s="24">
        <v>26</v>
      </c>
      <c r="N9" s="24">
        <v>11</v>
      </c>
      <c r="O9" s="24">
        <v>14</v>
      </c>
      <c r="P9" s="24">
        <v>45</v>
      </c>
    </row>
    <row r="10" spans="2:20" s="24" customFormat="1" x14ac:dyDescent="0.2">
      <c r="B10" s="23" t="s">
        <v>43</v>
      </c>
      <c r="L10" s="24">
        <v>58</v>
      </c>
      <c r="M10" s="24">
        <v>57</v>
      </c>
      <c r="N10" s="24">
        <v>12</v>
      </c>
      <c r="O10" s="24">
        <v>66</v>
      </c>
      <c r="P10" s="24">
        <v>110</v>
      </c>
    </row>
    <row r="11" spans="2:20" s="26" customFormat="1" x14ac:dyDescent="0.2">
      <c r="B11" s="26" t="s">
        <v>47</v>
      </c>
      <c r="L11" s="26">
        <f t="shared" ref="L11:O11" si="1">SUM(L8:L10)</f>
        <v>209</v>
      </c>
      <c r="M11" s="26">
        <f t="shared" si="1"/>
        <v>261</v>
      </c>
      <c r="N11" s="26">
        <f t="shared" si="1"/>
        <v>67</v>
      </c>
      <c r="O11" s="26">
        <f t="shared" si="1"/>
        <v>189</v>
      </c>
      <c r="P11" s="26">
        <f>SUM(P8:P10)</f>
        <v>327</v>
      </c>
    </row>
    <row r="12" spans="2:20" s="25" customFormat="1" x14ac:dyDescent="0.2">
      <c r="B12" s="25" t="s">
        <v>56</v>
      </c>
      <c r="L12" s="25">
        <v>54.058999999999997</v>
      </c>
      <c r="M12" s="25">
        <v>59.601999999999997</v>
      </c>
      <c r="N12" s="25">
        <v>18.408000000000001</v>
      </c>
      <c r="O12" s="25">
        <v>44.625999999999998</v>
      </c>
      <c r="P12" s="25">
        <v>74.923000000000002</v>
      </c>
    </row>
    <row r="13" spans="2:20" s="26" customFormat="1" x14ac:dyDescent="0.2">
      <c r="B13" s="26" t="s">
        <v>55</v>
      </c>
      <c r="L13" s="26">
        <f t="shared" ref="L13:N13" si="2">L11-L12</f>
        <v>154.941</v>
      </c>
      <c r="M13" s="26">
        <f t="shared" si="2"/>
        <v>201.398</v>
      </c>
      <c r="N13" s="26">
        <f t="shared" si="2"/>
        <v>48.591999999999999</v>
      </c>
      <c r="O13" s="26">
        <f>O11-O12</f>
        <v>144.374</v>
      </c>
      <c r="P13" s="26">
        <f>P11-P12</f>
        <v>252.077</v>
      </c>
    </row>
    <row r="14" spans="2:20" s="25" customFormat="1" x14ac:dyDescent="0.2">
      <c r="B14" s="25" t="s">
        <v>51</v>
      </c>
      <c r="L14" s="25">
        <v>144.93199999999999</v>
      </c>
      <c r="M14" s="25">
        <v>198.89</v>
      </c>
      <c r="N14" s="25">
        <v>148.38</v>
      </c>
      <c r="O14" s="25">
        <v>154.19999999999999</v>
      </c>
      <c r="P14" s="25">
        <v>224.58500000000001</v>
      </c>
    </row>
    <row r="15" spans="2:20" x14ac:dyDescent="0.2">
      <c r="B15" s="1" t="s">
        <v>53</v>
      </c>
      <c r="L15" s="25">
        <v>38.942</v>
      </c>
      <c r="M15" s="25">
        <v>50.906999999999996</v>
      </c>
      <c r="N15" s="25">
        <v>41.198999999999998</v>
      </c>
      <c r="O15" s="25">
        <v>42.576000000000001</v>
      </c>
      <c r="P15" s="25">
        <v>41.167000000000002</v>
      </c>
    </row>
    <row r="16" spans="2:20" s="25" customFormat="1" x14ac:dyDescent="0.2">
      <c r="B16" s="25" t="s">
        <v>54</v>
      </c>
      <c r="L16" s="25">
        <v>3.3090000000000002</v>
      </c>
      <c r="M16" s="25">
        <v>10.631</v>
      </c>
      <c r="N16" s="25">
        <v>7.093</v>
      </c>
      <c r="O16" s="25">
        <v>6.7830000000000004</v>
      </c>
      <c r="P16" s="25">
        <v>17.292000000000002</v>
      </c>
    </row>
    <row r="17" spans="2:16" s="25" customFormat="1" x14ac:dyDescent="0.2">
      <c r="B17" s="25" t="s">
        <v>95</v>
      </c>
      <c r="L17" s="25">
        <v>0.13600000000000001</v>
      </c>
      <c r="M17" s="25">
        <v>21.402000000000001</v>
      </c>
      <c r="N17" s="25">
        <v>26.507999999999999</v>
      </c>
      <c r="O17" s="25">
        <v>0</v>
      </c>
      <c r="P17" s="25">
        <v>0</v>
      </c>
    </row>
    <row r="18" spans="2:16" s="29" customFormat="1" x14ac:dyDescent="0.2">
      <c r="B18" s="29" t="s">
        <v>57</v>
      </c>
      <c r="L18" s="29">
        <f t="shared" ref="L18" si="3">L13-L14+L15+L16+L17</f>
        <v>52.396000000000015</v>
      </c>
      <c r="M18" s="29">
        <f>M13-M14+M15+M16+M17</f>
        <v>85.448000000000008</v>
      </c>
      <c r="N18" s="29">
        <f t="shared" ref="N18:P18" si="4">N13-N14+N15+N16+N17</f>
        <v>-24.987999999999996</v>
      </c>
      <c r="O18" s="29">
        <f t="shared" si="4"/>
        <v>39.533000000000008</v>
      </c>
      <c r="P18" s="29">
        <f t="shared" si="4"/>
        <v>85.950999999999993</v>
      </c>
    </row>
    <row r="19" spans="2:16" s="26" customFormat="1" x14ac:dyDescent="0.2">
      <c r="B19" s="26" t="s">
        <v>52</v>
      </c>
      <c r="L19" s="26">
        <f t="shared" ref="L19" si="5">L13-L14</f>
        <v>10.009000000000015</v>
      </c>
      <c r="M19" s="26">
        <f t="shared" ref="M19:N19" si="6">M13-M14</f>
        <v>2.5080000000000098</v>
      </c>
      <c r="N19" s="26">
        <f t="shared" si="6"/>
        <v>-99.787999999999997</v>
      </c>
      <c r="O19" s="26">
        <f>O13-O14</f>
        <v>-9.8259999999999934</v>
      </c>
      <c r="P19" s="26">
        <f>P13-P14</f>
        <v>27.49199999999999</v>
      </c>
    </row>
    <row r="20" spans="2:16" s="25" customFormat="1" x14ac:dyDescent="0.2">
      <c r="B20" s="25" t="s">
        <v>58</v>
      </c>
      <c r="L20" s="25">
        <v>1.1000000000000001</v>
      </c>
      <c r="M20" s="25">
        <v>0.69199999999999995</v>
      </c>
      <c r="N20" s="25">
        <v>0.57799999999999996</v>
      </c>
      <c r="O20" s="25">
        <v>3.95</v>
      </c>
      <c r="P20" s="25">
        <v>4.7210000000000001</v>
      </c>
    </row>
    <row r="21" spans="2:16" s="25" customFormat="1" x14ac:dyDescent="0.2">
      <c r="B21" s="25" t="s">
        <v>59</v>
      </c>
      <c r="L21" s="25">
        <v>25.274999999999999</v>
      </c>
      <c r="M21" s="25">
        <v>83.183999999999997</v>
      </c>
      <c r="N21" s="25">
        <v>7.6360000000000001</v>
      </c>
      <c r="O21" s="25">
        <v>9.1790000000000003</v>
      </c>
      <c r="P21" s="25">
        <v>10.27</v>
      </c>
    </row>
    <row r="22" spans="2:16" s="25" customFormat="1" x14ac:dyDescent="0.2">
      <c r="B22" s="25" t="s">
        <v>60</v>
      </c>
      <c r="L22" s="25">
        <f t="shared" ref="L22:N22" si="7">L19+L20-L21</f>
        <v>-14.165999999999984</v>
      </c>
      <c r="M22" s="25">
        <f t="shared" si="7"/>
        <v>-79.98399999999998</v>
      </c>
      <c r="N22" s="25">
        <f t="shared" si="7"/>
        <v>-106.84599999999999</v>
      </c>
      <c r="O22" s="25">
        <f>O19+O20-O21</f>
        <v>-15.054999999999993</v>
      </c>
      <c r="P22" s="25">
        <f>P19+P20-P21</f>
        <v>21.942999999999994</v>
      </c>
    </row>
    <row r="23" spans="2:16" s="25" customFormat="1" x14ac:dyDescent="0.2">
      <c r="B23" s="25" t="s">
        <v>61</v>
      </c>
      <c r="L23" s="25">
        <v>8.0000000000000002E-3</v>
      </c>
      <c r="M23" s="25">
        <v>0.70699999999999996</v>
      </c>
      <c r="N23" s="25">
        <v>-15.458</v>
      </c>
      <c r="O23" s="25">
        <v>-3.637</v>
      </c>
      <c r="P23" s="25">
        <v>0.873</v>
      </c>
    </row>
    <row r="24" spans="2:16" s="26" customFormat="1" x14ac:dyDescent="0.2">
      <c r="B24" s="26" t="s">
        <v>62</v>
      </c>
      <c r="L24" s="26">
        <f t="shared" ref="L24:N24" si="8">L22-L23</f>
        <v>-14.173999999999984</v>
      </c>
      <c r="M24" s="26">
        <f t="shared" si="8"/>
        <v>-80.690999999999974</v>
      </c>
      <c r="N24" s="26">
        <f t="shared" si="8"/>
        <v>-91.387999999999991</v>
      </c>
      <c r="O24" s="26">
        <f>O22-O23</f>
        <v>-11.417999999999992</v>
      </c>
      <c r="P24" s="26">
        <f>P22-P23</f>
        <v>21.069999999999993</v>
      </c>
    </row>
    <row r="25" spans="2:16" s="35" customFormat="1" x14ac:dyDescent="0.2">
      <c r="B25" s="35" t="s">
        <v>63</v>
      </c>
      <c r="L25" s="35">
        <f t="shared" ref="L25:N25" si="9">L24/L26</f>
        <v>-3.4045182208234659E-2</v>
      </c>
      <c r="M25" s="35">
        <f t="shared" si="9"/>
        <v>-0.17618466946427594</v>
      </c>
      <c r="N25" s="35">
        <f t="shared" si="9"/>
        <v>-0.19118732578238515</v>
      </c>
      <c r="O25" s="35">
        <f>O24/O26</f>
        <v>-2.3907847371908712E-2</v>
      </c>
      <c r="P25" s="35">
        <f>P24/P26</f>
        <v>4.4940134195719773E-2</v>
      </c>
    </row>
    <row r="26" spans="2:16" s="16" customFormat="1" x14ac:dyDescent="0.2">
      <c r="B26" s="16" t="s">
        <v>4</v>
      </c>
      <c r="L26" s="16">
        <v>416.32909799999999</v>
      </c>
      <c r="M26" s="16">
        <v>457.99104</v>
      </c>
      <c r="N26" s="16">
        <v>478.00239699999997</v>
      </c>
      <c r="O26" s="16">
        <v>477.583775</v>
      </c>
      <c r="P26" s="16">
        <v>468.84595200000001</v>
      </c>
    </row>
    <row r="28" spans="2:16" s="27" customFormat="1" x14ac:dyDescent="0.2">
      <c r="B28" s="27" t="s">
        <v>70</v>
      </c>
      <c r="L28" s="27">
        <f t="shared" ref="L28" si="10">L13/L11</f>
        <v>0.74134449760765553</v>
      </c>
      <c r="M28" s="27">
        <f t="shared" ref="M28:O28" si="11">M13/M11</f>
        <v>0.771639846743295</v>
      </c>
      <c r="N28" s="27">
        <f t="shared" si="11"/>
        <v>0.72525373134328353</v>
      </c>
      <c r="O28" s="27">
        <f t="shared" si="11"/>
        <v>0.76388359788359783</v>
      </c>
      <c r="P28" s="27">
        <f>P13/P11</f>
        <v>0.77087767584097855</v>
      </c>
    </row>
    <row r="29" spans="2:16" s="27" customFormat="1" x14ac:dyDescent="0.2">
      <c r="B29" s="27" t="s">
        <v>71</v>
      </c>
      <c r="L29" s="27">
        <f t="shared" ref="L29" si="12">L19/L11</f>
        <v>4.7889952153110114E-2</v>
      </c>
      <c r="M29" s="27">
        <f t="shared" ref="M29:O29" si="13">M19/M11</f>
        <v>9.6091954022988878E-3</v>
      </c>
      <c r="N29" s="27">
        <f t="shared" si="13"/>
        <v>-1.4893731343283581</v>
      </c>
      <c r="O29" s="27">
        <f t="shared" si="13"/>
        <v>-5.1989417989417953E-2</v>
      </c>
      <c r="P29" s="27">
        <f>P19/P11</f>
        <v>8.4073394495412818E-2</v>
      </c>
    </row>
    <row r="30" spans="2:16" s="27" customFormat="1" x14ac:dyDescent="0.2">
      <c r="B30" s="27" t="s">
        <v>72</v>
      </c>
      <c r="L30" s="27">
        <f t="shared" ref="L30" si="14">L24/L11</f>
        <v>-6.7818181818181736E-2</v>
      </c>
      <c r="M30" s="27">
        <f t="shared" ref="M30:O30" si="15">M24/M11</f>
        <v>-0.30916091954022978</v>
      </c>
      <c r="N30" s="27">
        <f t="shared" si="15"/>
        <v>-1.3639999999999999</v>
      </c>
      <c r="O30" s="27">
        <f t="shared" si="15"/>
        <v>-6.0412698412698369E-2</v>
      </c>
      <c r="P30" s="27">
        <f>P24/P11</f>
        <v>6.4434250764525969E-2</v>
      </c>
    </row>
    <row r="31" spans="2:16" s="27" customFormat="1" x14ac:dyDescent="0.2">
      <c r="B31" s="27" t="s">
        <v>73</v>
      </c>
      <c r="L31" s="27">
        <f t="shared" ref="L31" si="16">L23/L22</f>
        <v>-5.6473245799802403E-4</v>
      </c>
      <c r="M31" s="27">
        <f t="shared" ref="M31:O31" si="17">M23/M22</f>
        <v>-8.8392678535707155E-3</v>
      </c>
      <c r="N31" s="27">
        <f t="shared" si="17"/>
        <v>0.14467551429159728</v>
      </c>
      <c r="O31" s="27">
        <f t="shared" si="17"/>
        <v>0.24158087014280982</v>
      </c>
      <c r="P31" s="27">
        <f>P23/P22</f>
        <v>3.9784897233741977E-2</v>
      </c>
    </row>
    <row r="34" spans="2:16" s="28" customFormat="1" x14ac:dyDescent="0.2">
      <c r="B34" s="28" t="s">
        <v>48</v>
      </c>
      <c r="L34" s="58" t="s">
        <v>96</v>
      </c>
      <c r="M34" s="28">
        <f t="shared" ref="M34" si="18">M11/L11-1</f>
        <v>0.24880382775119614</v>
      </c>
      <c r="N34" s="28">
        <f t="shared" ref="N34:O34" si="19">N11/M11-1</f>
        <v>-0.74329501915708818</v>
      </c>
      <c r="O34" s="28">
        <f t="shared" si="19"/>
        <v>1.8208955223880596</v>
      </c>
      <c r="P34" s="28">
        <f>P11/O11-1</f>
        <v>0.73015873015873023</v>
      </c>
    </row>
    <row r="35" spans="2:16" s="34" customFormat="1" x14ac:dyDescent="0.2">
      <c r="B35" s="32" t="s">
        <v>67</v>
      </c>
      <c r="L35" s="58" t="s">
        <v>96</v>
      </c>
      <c r="M35" s="34">
        <f t="shared" ref="M35:M37" si="20">M8/L8-1</f>
        <v>0.2992700729927007</v>
      </c>
      <c r="N35" s="34">
        <f t="shared" ref="N35:O35" si="21">N8/M8-1</f>
        <v>-0.75280898876404501</v>
      </c>
      <c r="O35" s="34">
        <f t="shared" si="21"/>
        <v>1.4772727272727271</v>
      </c>
      <c r="P35" s="34">
        <f>P8/O8-1</f>
        <v>0.57798165137614688</v>
      </c>
    </row>
    <row r="36" spans="2:16" s="34" customFormat="1" x14ac:dyDescent="0.2">
      <c r="B36" s="32" t="s">
        <v>68</v>
      </c>
      <c r="L36" s="58" t="s">
        <v>96</v>
      </c>
      <c r="M36" s="34">
        <f t="shared" si="20"/>
        <v>0.85714285714285721</v>
      </c>
      <c r="N36" s="34">
        <f t="shared" ref="N36:O36" si="22">N9/M9-1</f>
        <v>-0.57692307692307687</v>
      </c>
      <c r="O36" s="34">
        <f t="shared" si="22"/>
        <v>0.27272727272727271</v>
      </c>
      <c r="P36" s="34">
        <f>P9/O9-1</f>
        <v>2.2142857142857144</v>
      </c>
    </row>
    <row r="37" spans="2:16" s="34" customFormat="1" x14ac:dyDescent="0.2">
      <c r="B37" s="32" t="s">
        <v>69</v>
      </c>
      <c r="L37" s="58" t="s">
        <v>96</v>
      </c>
      <c r="M37" s="34">
        <f t="shared" si="20"/>
        <v>-1.7241379310344862E-2</v>
      </c>
      <c r="N37" s="34">
        <f t="shared" ref="N37:O37" si="23">N10/M10-1</f>
        <v>-0.78947368421052633</v>
      </c>
      <c r="O37" s="34">
        <f t="shared" si="23"/>
        <v>4.5</v>
      </c>
      <c r="P37" s="34">
        <f>P10/O10-1</f>
        <v>0.66666666666666674</v>
      </c>
    </row>
    <row r="38" spans="2:16" x14ac:dyDescent="0.2">
      <c r="B38" s="1" t="s">
        <v>49</v>
      </c>
    </row>
    <row r="40" spans="2:16" s="28" customFormat="1" x14ac:dyDescent="0.2">
      <c r="B40" s="28" t="s">
        <v>50</v>
      </c>
      <c r="L40" s="58" t="s">
        <v>96</v>
      </c>
      <c r="M40" s="28">
        <f t="shared" ref="M40" si="24">M7/L7-1</f>
        <v>0.16651017214397501</v>
      </c>
      <c r="N40" s="28">
        <f t="shared" ref="N40:O40" si="25">N7/M7-1</f>
        <v>-0.78991145693587339</v>
      </c>
      <c r="O40" s="28">
        <f t="shared" si="25"/>
        <v>2.2196679438058746</v>
      </c>
      <c r="P40" s="28">
        <f>P7/O7-1</f>
        <v>0.71479571598571989</v>
      </c>
    </row>
    <row r="41" spans="2:16" s="33" customFormat="1" x14ac:dyDescent="0.2">
      <c r="B41" s="32" t="s">
        <v>64</v>
      </c>
      <c r="L41" s="58" t="s">
        <v>96</v>
      </c>
      <c r="M41" s="34">
        <f t="shared" ref="M41:M43" si="26">M4/L4-1</f>
        <v>0.24150485436893199</v>
      </c>
      <c r="N41" s="34">
        <f t="shared" ref="N41:O41" si="27">N4/M4-1</f>
        <v>-0.76881720430107525</v>
      </c>
      <c r="O41" s="34">
        <f t="shared" si="27"/>
        <v>2.8308668076109935</v>
      </c>
      <c r="P41" s="34">
        <f>P4/O4-1</f>
        <v>0.55132450331125837</v>
      </c>
    </row>
    <row r="42" spans="2:16" s="33" customFormat="1" x14ac:dyDescent="0.2">
      <c r="B42" s="32" t="s">
        <v>65</v>
      </c>
      <c r="L42" s="58" t="s">
        <v>96</v>
      </c>
      <c r="M42" s="34">
        <f t="shared" si="26"/>
        <v>0.40401146131805166</v>
      </c>
      <c r="N42" s="34">
        <f t="shared" ref="N42:O42" si="28">N5/M5-1</f>
        <v>-0.52040816326530615</v>
      </c>
      <c r="O42" s="34">
        <f t="shared" si="28"/>
        <v>0.73191489361702122</v>
      </c>
      <c r="P42" s="34">
        <f>P5/O5-1</f>
        <v>1.248157248157248</v>
      </c>
    </row>
    <row r="43" spans="2:16" s="33" customFormat="1" x14ac:dyDescent="0.2">
      <c r="B43" s="32" t="s">
        <v>66</v>
      </c>
      <c r="L43" s="58" t="s">
        <v>96</v>
      </c>
      <c r="M43" s="34">
        <f t="shared" si="26"/>
        <v>-5.8430717863104942E-3</v>
      </c>
      <c r="N43" s="34">
        <f t="shared" ref="N43:O43" si="29">N6/M6-1</f>
        <v>-0.93702770780856426</v>
      </c>
      <c r="O43" s="34">
        <f t="shared" si="29"/>
        <v>3.0266666666666664</v>
      </c>
      <c r="P43" s="34">
        <f>P6/O6-1</f>
        <v>0.97682119205298013</v>
      </c>
    </row>
    <row r="47" spans="2:16" x14ac:dyDescent="0.2">
      <c r="B47" s="36" t="s">
        <v>74</v>
      </c>
    </row>
    <row r="48" spans="2:16" s="16" customFormat="1" x14ac:dyDescent="0.2">
      <c r="B48" s="16" t="s">
        <v>75</v>
      </c>
      <c r="L48" s="16">
        <f>114.77+443.271</f>
        <v>558.04100000000005</v>
      </c>
      <c r="M48" s="16">
        <f>93.555+443.357</f>
        <v>536.91200000000003</v>
      </c>
      <c r="N48" s="16">
        <f>81.379+419.457</f>
        <v>500.83600000000001</v>
      </c>
      <c r="O48" s="16">
        <f>69.794+417.36</f>
        <v>487.154</v>
      </c>
      <c r="P48" s="16">
        <f>66.827+420.71</f>
        <v>487.53699999999998</v>
      </c>
    </row>
    <row r="49" spans="2:16" s="16" customFormat="1" x14ac:dyDescent="0.2">
      <c r="B49" s="16" t="s">
        <v>76</v>
      </c>
      <c r="L49" s="16">
        <v>5.4619999999999997</v>
      </c>
      <c r="M49" s="16">
        <v>20.184000000000001</v>
      </c>
      <c r="N49" s="16">
        <v>25.870999999999999</v>
      </c>
      <c r="O49" s="16">
        <v>24.876999999999999</v>
      </c>
      <c r="P49" s="16">
        <v>21.189</v>
      </c>
    </row>
    <row r="50" spans="2:16" s="16" customFormat="1" x14ac:dyDescent="0.2">
      <c r="B50" s="16" t="s">
        <v>77</v>
      </c>
      <c r="L50" s="16">
        <v>0.46</v>
      </c>
      <c r="M50" s="16">
        <v>6.0000000000000001E-3</v>
      </c>
      <c r="N50" s="16">
        <v>5.0830000000000002</v>
      </c>
      <c r="O50" s="16">
        <v>12.565</v>
      </c>
      <c r="P50" s="16">
        <v>26.95</v>
      </c>
    </row>
    <row r="51" spans="2:16" s="16" customFormat="1" x14ac:dyDescent="0.2">
      <c r="B51" s="16" t="s">
        <v>78</v>
      </c>
      <c r="L51" s="16">
        <f t="shared" ref="L51:O51" si="30">SUM(L48:L50)</f>
        <v>563.96300000000008</v>
      </c>
      <c r="M51" s="16">
        <f t="shared" si="30"/>
        <v>557.10199999999998</v>
      </c>
      <c r="N51" s="16">
        <f t="shared" si="30"/>
        <v>531.79</v>
      </c>
      <c r="O51" s="16">
        <f t="shared" si="30"/>
        <v>524.596</v>
      </c>
      <c r="P51" s="16">
        <f>SUM(P48:P50)</f>
        <v>535.67600000000004</v>
      </c>
    </row>
    <row r="52" spans="2:16" s="37" customFormat="1" x14ac:dyDescent="0.2">
      <c r="B52" s="37" t="s">
        <v>79</v>
      </c>
      <c r="L52" s="37">
        <f>94.477+0.025</f>
        <v>94.50200000000001</v>
      </c>
      <c r="M52" s="37">
        <f>0.026+92.12</f>
        <v>92.146000000000001</v>
      </c>
      <c r="N52" s="37">
        <v>36.575000000000003</v>
      </c>
      <c r="O52" s="37">
        <v>68.495999999999995</v>
      </c>
      <c r="P52" s="37">
        <v>57.337000000000003</v>
      </c>
    </row>
    <row r="53" spans="2:16" s="16" customFormat="1" x14ac:dyDescent="0.2">
      <c r="B53" s="16" t="s">
        <v>80</v>
      </c>
      <c r="L53" s="16">
        <v>47.195999999999998</v>
      </c>
      <c r="M53" s="16">
        <v>52.078000000000003</v>
      </c>
      <c r="N53" s="16">
        <v>24.515999999999998</v>
      </c>
      <c r="O53" s="16">
        <v>48.314</v>
      </c>
      <c r="P53" s="16">
        <v>60.158000000000001</v>
      </c>
    </row>
    <row r="54" spans="2:16" s="16" customFormat="1" x14ac:dyDescent="0.2">
      <c r="B54" s="16" t="s">
        <v>81</v>
      </c>
      <c r="L54" s="16">
        <v>0</v>
      </c>
      <c r="M54" s="16">
        <v>0</v>
      </c>
      <c r="N54" s="16">
        <v>0</v>
      </c>
      <c r="O54" s="16">
        <v>1.599</v>
      </c>
      <c r="P54" s="16">
        <v>0</v>
      </c>
    </row>
    <row r="55" spans="2:16" s="16" customFormat="1" x14ac:dyDescent="0.2">
      <c r="B55" s="16" t="s">
        <v>82</v>
      </c>
      <c r="L55" s="16">
        <f t="shared" ref="L55:O55" si="31">SUM(L51:L54)</f>
        <v>705.66100000000017</v>
      </c>
      <c r="M55" s="16">
        <f t="shared" si="31"/>
        <v>701.32599999999991</v>
      </c>
      <c r="N55" s="16">
        <f t="shared" si="31"/>
        <v>592.88099999999997</v>
      </c>
      <c r="O55" s="16">
        <f t="shared" si="31"/>
        <v>643.005</v>
      </c>
      <c r="P55" s="16">
        <f>SUM(P51:P54)</f>
        <v>653.17100000000005</v>
      </c>
    </row>
    <row r="57" spans="2:16" s="16" customFormat="1" x14ac:dyDescent="0.2">
      <c r="B57" s="16" t="s">
        <v>83</v>
      </c>
      <c r="L57" s="16">
        <v>161.684</v>
      </c>
      <c r="M57" s="16">
        <v>165.73500000000001</v>
      </c>
      <c r="N57" s="16">
        <v>37.99</v>
      </c>
      <c r="O57" s="16">
        <v>227.72900000000001</v>
      </c>
      <c r="P57" s="16">
        <v>200.202</v>
      </c>
    </row>
    <row r="58" spans="2:16" s="37" customFormat="1" x14ac:dyDescent="0.2">
      <c r="B58" s="37" t="s">
        <v>84</v>
      </c>
      <c r="L58" s="37">
        <v>2.8149999999999999</v>
      </c>
      <c r="M58" s="37">
        <v>2.698</v>
      </c>
      <c r="N58" s="37">
        <v>4.1669999999999998</v>
      </c>
      <c r="O58" s="37">
        <v>4.9139999999999997</v>
      </c>
      <c r="P58" s="37">
        <v>4.891</v>
      </c>
    </row>
    <row r="59" spans="2:16" s="16" customFormat="1" x14ac:dyDescent="0.2">
      <c r="B59" s="16" t="s">
        <v>85</v>
      </c>
      <c r="L59" s="16">
        <v>1.093</v>
      </c>
      <c r="M59" s="16">
        <v>0.55200000000000005</v>
      </c>
      <c r="N59" s="16">
        <v>0</v>
      </c>
      <c r="O59" s="16">
        <v>0</v>
      </c>
      <c r="P59" s="16">
        <v>7.6420000000000003</v>
      </c>
    </row>
    <row r="60" spans="2:16" s="16" customFormat="1" x14ac:dyDescent="0.2">
      <c r="B60" s="16" t="s">
        <v>86</v>
      </c>
      <c r="L60" s="16">
        <f t="shared" ref="L60:O60" si="32">SUM(L57:L59)</f>
        <v>165.59199999999998</v>
      </c>
      <c r="M60" s="16">
        <f t="shared" si="32"/>
        <v>168.98500000000001</v>
      </c>
      <c r="N60" s="16">
        <f t="shared" si="32"/>
        <v>42.157000000000004</v>
      </c>
      <c r="O60" s="16">
        <f t="shared" si="32"/>
        <v>232.643</v>
      </c>
      <c r="P60" s="16">
        <f>SUM(P57:P59)</f>
        <v>212.73499999999999</v>
      </c>
    </row>
    <row r="61" spans="2:16" s="37" customFormat="1" x14ac:dyDescent="0.2">
      <c r="B61" s="37" t="s">
        <v>84</v>
      </c>
      <c r="L61" s="37">
        <v>266.43799999999999</v>
      </c>
      <c r="M61" s="37">
        <f>4.345+154.402</f>
        <v>158.74699999999999</v>
      </c>
      <c r="N61" s="37">
        <v>266.36900000000003</v>
      </c>
      <c r="O61" s="37">
        <v>149.99600000000001</v>
      </c>
      <c r="P61" s="37">
        <v>149.01400000000001</v>
      </c>
    </row>
    <row r="62" spans="2:16" s="16" customFormat="1" x14ac:dyDescent="0.2">
      <c r="B62" s="16" t="s">
        <v>87</v>
      </c>
      <c r="L62" s="16">
        <v>1.5660000000000001</v>
      </c>
      <c r="M62" s="16">
        <v>0.68100000000000005</v>
      </c>
      <c r="N62" s="16">
        <v>0.85</v>
      </c>
      <c r="O62" s="16">
        <v>0.873</v>
      </c>
      <c r="P62" s="16">
        <v>0.77800000000000002</v>
      </c>
    </row>
    <row r="63" spans="2:16" s="16" customFormat="1" x14ac:dyDescent="0.2">
      <c r="B63" s="16" t="s">
        <v>97</v>
      </c>
      <c r="L63" s="16">
        <v>19.561</v>
      </c>
      <c r="M63" s="16">
        <v>0</v>
      </c>
      <c r="N63" s="16">
        <v>0</v>
      </c>
      <c r="O63" s="16">
        <v>0</v>
      </c>
      <c r="P63" s="16">
        <v>0</v>
      </c>
    </row>
    <row r="64" spans="2:16" s="16" customFormat="1" x14ac:dyDescent="0.2">
      <c r="B64" s="16" t="s">
        <v>98</v>
      </c>
      <c r="L64" s="16">
        <v>8.0329999999999995</v>
      </c>
      <c r="M64" s="16">
        <v>0</v>
      </c>
      <c r="N64" s="16">
        <v>0</v>
      </c>
      <c r="O64" s="16">
        <v>0</v>
      </c>
      <c r="P64" s="16">
        <v>0</v>
      </c>
    </row>
    <row r="65" spans="2:16" s="16" customFormat="1" x14ac:dyDescent="0.2">
      <c r="B65" s="16" t="s">
        <v>77</v>
      </c>
      <c r="L65" s="16">
        <v>7.8819999999999997</v>
      </c>
      <c r="M65" s="16">
        <v>0</v>
      </c>
      <c r="N65" s="16">
        <v>0</v>
      </c>
      <c r="O65" s="16">
        <v>0</v>
      </c>
      <c r="P65" s="16">
        <v>0</v>
      </c>
    </row>
    <row r="66" spans="2:16" s="16" customFormat="1" x14ac:dyDescent="0.2">
      <c r="B66" s="16" t="s">
        <v>88</v>
      </c>
      <c r="L66" s="16">
        <f>SUM(L60:L65)</f>
        <v>469.07199999999995</v>
      </c>
      <c r="M66" s="16">
        <f t="shared" ref="M66:P66" si="33">SUM(M60:M65)</f>
        <v>328.41299999999995</v>
      </c>
      <c r="N66" s="16">
        <f t="shared" si="33"/>
        <v>309.37600000000003</v>
      </c>
      <c r="O66" s="16">
        <f t="shared" si="33"/>
        <v>383.512</v>
      </c>
      <c r="P66" s="16">
        <f t="shared" si="33"/>
        <v>362.52700000000004</v>
      </c>
    </row>
    <row r="68" spans="2:16" s="16" customFormat="1" x14ac:dyDescent="0.2">
      <c r="B68" s="16" t="s">
        <v>89</v>
      </c>
      <c r="L68" s="16">
        <v>236.589</v>
      </c>
      <c r="M68" s="16">
        <v>372.91699999999997</v>
      </c>
      <c r="N68" s="16">
        <v>283.505</v>
      </c>
      <c r="O68" s="16">
        <v>259.49299999999999</v>
      </c>
      <c r="P68" s="16">
        <v>290.66399999999999</v>
      </c>
    </row>
    <row r="69" spans="2:16" x14ac:dyDescent="0.2">
      <c r="B69" s="1" t="s">
        <v>90</v>
      </c>
      <c r="L69" s="16">
        <f t="shared" ref="L69:O69" si="34">+L68+L66</f>
        <v>705.66099999999994</v>
      </c>
      <c r="M69" s="16">
        <f t="shared" si="34"/>
        <v>701.32999999999993</v>
      </c>
      <c r="N69" s="16">
        <f t="shared" si="34"/>
        <v>592.88100000000009</v>
      </c>
      <c r="O69" s="16">
        <f t="shared" si="34"/>
        <v>643.005</v>
      </c>
      <c r="P69" s="16">
        <f>+P68+P66</f>
        <v>653.19100000000003</v>
      </c>
    </row>
    <row r="71" spans="2:16" x14ac:dyDescent="0.2">
      <c r="B71" s="1" t="s">
        <v>91</v>
      </c>
      <c r="L71" s="16">
        <f t="shared" ref="L71:M71" si="35">L55-L66</f>
        <v>236.58900000000023</v>
      </c>
      <c r="M71" s="16">
        <f>M55-M66</f>
        <v>372.91299999999995</v>
      </c>
      <c r="N71" s="16">
        <f>N55-N66</f>
        <v>283.50499999999994</v>
      </c>
      <c r="O71" s="16">
        <f>O55-O66</f>
        <v>259.49299999999999</v>
      </c>
      <c r="P71" s="16">
        <f>P55-P66</f>
        <v>290.64400000000001</v>
      </c>
    </row>
    <row r="72" spans="2:16" s="38" customFormat="1" x14ac:dyDescent="0.2">
      <c r="B72" s="38" t="s">
        <v>92</v>
      </c>
      <c r="L72" s="38">
        <f t="shared" ref="L72" si="36">L71/L26</f>
        <v>0.56827399558798131</v>
      </c>
      <c r="M72" s="38">
        <f>M71/M26</f>
        <v>0.8142364531847609</v>
      </c>
      <c r="N72" s="38">
        <f>N71/N26</f>
        <v>0.59310372035644821</v>
      </c>
      <c r="O72" s="38">
        <f>O71/O26</f>
        <v>0.54334551042903412</v>
      </c>
      <c r="P72" s="38">
        <f>P71/P26</f>
        <v>0.61991363849932524</v>
      </c>
    </row>
    <row r="74" spans="2:16" s="31" customFormat="1" x14ac:dyDescent="0.2">
      <c r="B74" s="31" t="s">
        <v>6</v>
      </c>
      <c r="L74" s="40">
        <f>+L52</f>
        <v>94.50200000000001</v>
      </c>
      <c r="M74" s="40">
        <f>+M52</f>
        <v>92.146000000000001</v>
      </c>
      <c r="N74" s="40">
        <f>+N52</f>
        <v>36.575000000000003</v>
      </c>
      <c r="O74" s="40">
        <f>+O52</f>
        <v>68.495999999999995</v>
      </c>
      <c r="P74" s="40">
        <f>+P52</f>
        <v>57.337000000000003</v>
      </c>
    </row>
    <row r="75" spans="2:16" s="40" customFormat="1" x14ac:dyDescent="0.2">
      <c r="B75" s="40" t="s">
        <v>7</v>
      </c>
      <c r="L75" s="40">
        <f>+L58+L61</f>
        <v>269.25299999999999</v>
      </c>
      <c r="M75" s="40">
        <f>+M58+M61</f>
        <v>161.44499999999999</v>
      </c>
      <c r="N75" s="40">
        <f>+N58+N61</f>
        <v>270.536</v>
      </c>
      <c r="O75" s="40">
        <f>+O58+O61</f>
        <v>154.91</v>
      </c>
      <c r="P75" s="40">
        <f>+P58+P61</f>
        <v>153.905</v>
      </c>
    </row>
    <row r="76" spans="2:16" x14ac:dyDescent="0.2">
      <c r="B76" s="1" t="s">
        <v>8</v>
      </c>
      <c r="L76" s="16">
        <f t="shared" ref="L76:M76" si="37">L74-L75</f>
        <v>-174.75099999999998</v>
      </c>
      <c r="M76" s="16">
        <f t="shared" ref="M76:O76" si="38">M74-M75</f>
        <v>-69.298999999999992</v>
      </c>
      <c r="N76" s="16">
        <f t="shared" si="38"/>
        <v>-233.96100000000001</v>
      </c>
      <c r="O76" s="16">
        <f t="shared" si="38"/>
        <v>-86.414000000000001</v>
      </c>
      <c r="P76" s="16">
        <f>P74-P75</f>
        <v>-96.567999999999998</v>
      </c>
    </row>
    <row r="78" spans="2:16" x14ac:dyDescent="0.2">
      <c r="B78" s="1" t="s">
        <v>94</v>
      </c>
      <c r="L78" s="1">
        <v>4.0999999999999996</v>
      </c>
      <c r="M78" s="1">
        <v>2.0249999999999999</v>
      </c>
      <c r="N78" s="1">
        <v>5.1749999999999998</v>
      </c>
      <c r="O78" s="1">
        <v>2.036</v>
      </c>
      <c r="P78" s="1">
        <v>2.5569999999999999</v>
      </c>
    </row>
    <row r="79" spans="2:16" s="16" customFormat="1" x14ac:dyDescent="0.2">
      <c r="B79" s="16" t="s">
        <v>5</v>
      </c>
      <c r="L79" s="16">
        <f t="shared" ref="L79" si="39">L78*L26</f>
        <v>1706.9493017999998</v>
      </c>
      <c r="M79" s="16">
        <f>M78*M26</f>
        <v>927.43185599999993</v>
      </c>
      <c r="N79" s="16">
        <f>N78*N26</f>
        <v>2473.6624044749997</v>
      </c>
      <c r="O79" s="16">
        <f>O78*O26</f>
        <v>972.36056589999998</v>
      </c>
      <c r="P79" s="16">
        <f>P78*P26</f>
        <v>1198.839099264</v>
      </c>
    </row>
    <row r="80" spans="2:16" s="16" customFormat="1" x14ac:dyDescent="0.2">
      <c r="B80" s="16" t="s">
        <v>9</v>
      </c>
      <c r="L80" s="16">
        <f t="shared" ref="L80:M80" si="40">L79-L76</f>
        <v>1881.7003017999998</v>
      </c>
      <c r="M80" s="16">
        <f t="shared" ref="M80:N80" si="41">M79-M76</f>
        <v>996.7308559999999</v>
      </c>
      <c r="N80" s="16">
        <f t="shared" si="41"/>
        <v>2707.6234044749999</v>
      </c>
      <c r="O80" s="16">
        <f>O79-O76</f>
        <v>1058.7745659</v>
      </c>
      <c r="P80" s="16">
        <f>P79-P76</f>
        <v>1295.407099264</v>
      </c>
    </row>
    <row r="82" spans="2:16" s="43" customFormat="1" x14ac:dyDescent="0.2">
      <c r="B82" s="43" t="s">
        <v>21</v>
      </c>
      <c r="L82" s="43">
        <f t="shared" ref="L82:M82" si="42">L78/L72</f>
        <v>7.2148295220825913</v>
      </c>
      <c r="M82" s="43">
        <f t="shared" ref="M82:N82" si="43">M78/M72</f>
        <v>2.4869925585860511</v>
      </c>
      <c r="N82" s="43">
        <f t="shared" si="43"/>
        <v>8.7252866950318353</v>
      </c>
      <c r="O82" s="43">
        <f t="shared" ref="O82" si="44">O78/O72</f>
        <v>3.7471552831868302</v>
      </c>
      <c r="P82" s="43">
        <f>P78/P72</f>
        <v>4.1247680986498949</v>
      </c>
    </row>
    <row r="83" spans="2:16" s="43" customFormat="1" x14ac:dyDescent="0.2">
      <c r="B83" s="43" t="s">
        <v>22</v>
      </c>
      <c r="L83" s="43">
        <f t="shared" ref="L83:M83" si="45">L79/L11</f>
        <v>8.1672215397129175</v>
      </c>
      <c r="M83" s="43">
        <f>M79/M11</f>
        <v>3.5533787586206893</v>
      </c>
      <c r="N83" s="43">
        <f>N79/N11</f>
        <v>36.920334395149247</v>
      </c>
      <c r="O83" s="43">
        <f>O79/O11</f>
        <v>5.1447648989417987</v>
      </c>
      <c r="P83" s="43">
        <f>P79/P11</f>
        <v>3.6661746154862382</v>
      </c>
    </row>
    <row r="84" spans="2:16" s="43" customFormat="1" x14ac:dyDescent="0.2">
      <c r="B84" s="43" t="s">
        <v>23</v>
      </c>
      <c r="L84" s="43">
        <f t="shared" ref="L84:M84" si="46">L80/L11</f>
        <v>9.003350726315789</v>
      </c>
      <c r="M84" s="43">
        <f>M80/M11</f>
        <v>3.8188921685823751</v>
      </c>
      <c r="N84" s="43">
        <f>N80/N11</f>
        <v>40.412289619029849</v>
      </c>
      <c r="O84" s="43">
        <f>O80/O11</f>
        <v>5.6019818301587296</v>
      </c>
      <c r="P84" s="43">
        <f>P80/P11</f>
        <v>3.9614896001957187</v>
      </c>
    </row>
    <row r="85" spans="2:16" s="43" customFormat="1" x14ac:dyDescent="0.2">
      <c r="B85" s="43" t="s">
        <v>24</v>
      </c>
      <c r="L85" s="44">
        <f t="shared" ref="L85:M85" si="47">L78/L25</f>
        <v>-120.42819964724156</v>
      </c>
      <c r="M85" s="44">
        <f>M78/M25</f>
        <v>-11.493622039632674</v>
      </c>
      <c r="N85" s="44">
        <f>N78/N25</f>
        <v>-27.067693838085962</v>
      </c>
      <c r="O85" s="44">
        <f>O78/O25</f>
        <v>-85.160322814853799</v>
      </c>
      <c r="P85" s="43">
        <f>P78/P25</f>
        <v>56.897916433981983</v>
      </c>
    </row>
    <row r="86" spans="2:16" s="43" customFormat="1" x14ac:dyDescent="0.2">
      <c r="B86" s="43" t="s">
        <v>25</v>
      </c>
      <c r="L86" s="44">
        <f t="shared" ref="L86:M86" si="48">L80/L24</f>
        <v>-132.75718229151983</v>
      </c>
      <c r="M86" s="44">
        <f>M80/M24</f>
        <v>-12.352441486658986</v>
      </c>
      <c r="N86" s="44">
        <f>N80/N24</f>
        <v>-29.62777831307174</v>
      </c>
      <c r="O86" s="44">
        <f>O80/O24</f>
        <v>-92.728548423541838</v>
      </c>
      <c r="P86" s="43">
        <f>P80/P24</f>
        <v>61.481115294921707</v>
      </c>
    </row>
  </sheetData>
  <hyperlinks>
    <hyperlink ref="P1" r:id="rId1" xr:uid="{6D6E4B0E-5EA2-44BF-AF19-6B8D573D9238}"/>
  </hyperlinks>
  <pageMargins left="0.7" right="0.7" top="0.75" bottom="0.75" header="0.3" footer="0.3"/>
  <pageSetup paperSize="125" orientation="portrait" horizontalDpi="203" verticalDpi="203" r:id="rId2"/>
  <ignoredErrors>
    <ignoredError sqref="P7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2023-08-22T16:14:35Z</dcterms:created>
  <dcterms:modified xsi:type="dcterms:W3CDTF">2023-08-24T10:31:39Z</dcterms:modified>
</cp:coreProperties>
</file>