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BA5C2A8-46C6-4BA6-B818-CC334E4EBA12}" xr6:coauthVersionLast="36" xr6:coauthVersionMax="47" xr10:uidLastSave="{00000000-0000-0000-0000-000000000000}"/>
  <bookViews>
    <workbookView xWindow="0" yWindow="495" windowWidth="32295" windowHeight="18855" firstSheet="1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5" i="1" l="1"/>
  <c r="AG15" i="1" l="1"/>
  <c r="K15" i="1" l="1"/>
  <c r="AG8" i="1" l="1"/>
  <c r="Q3" i="1" l="1"/>
  <c r="AF8" i="1"/>
  <c r="AG3" i="1"/>
  <c r="AB3" i="1" l="1"/>
  <c r="AA3" i="1"/>
  <c r="Z3" i="1"/>
  <c r="Y3" i="1"/>
  <c r="AF3" i="1"/>
  <c r="AE3" i="1"/>
  <c r="K3" i="1"/>
  <c r="K13" i="1" l="1"/>
  <c r="AG13" i="1"/>
  <c r="AF13" i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1" i="1" l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H11" i="1"/>
  <c r="AD13" i="1"/>
  <c r="V13" i="1"/>
  <c r="P13" i="1"/>
  <c r="O13" i="1"/>
  <c r="AI13" i="1" l="1"/>
  <c r="AJ13" i="1"/>
  <c r="F13" i="1"/>
  <c r="H13" i="1"/>
  <c r="X11" i="1" l="1"/>
  <c r="W11" i="1"/>
  <c r="I13" i="1" l="1"/>
  <c r="F12" i="1"/>
  <c r="AE11" i="1" l="1"/>
  <c r="AB11" i="1"/>
  <c r="AA11" i="1"/>
  <c r="Z11" i="1"/>
  <c r="Y11" i="1"/>
  <c r="Q11" i="1"/>
  <c r="J11" i="1" l="1"/>
  <c r="V11" i="1" l="1"/>
  <c r="P11" i="1"/>
  <c r="AI11" i="1" l="1"/>
  <c r="AJ11" i="1"/>
  <c r="F11" i="1"/>
  <c r="G6" i="1" l="1"/>
  <c r="I3" i="1" l="1"/>
  <c r="H3" i="1"/>
  <c r="G3" i="1"/>
  <c r="G9" i="1"/>
  <c r="F9" i="1"/>
  <c r="O11" i="1" l="1"/>
  <c r="P12" i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AB8" i="1" l="1"/>
  <c r="AA8" i="1"/>
  <c r="Z8" i="1"/>
  <c r="Y8" i="1"/>
  <c r="V14" i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E12" i="1" l="1"/>
  <c r="AH8" i="1" l="1"/>
  <c r="AH15" i="1" l="1"/>
  <c r="AH12" i="1"/>
  <c r="W12" i="1" l="1"/>
  <c r="V12" i="1"/>
  <c r="H12" i="1" l="1"/>
  <c r="AD12" i="1"/>
  <c r="L12" i="1"/>
  <c r="T12" i="1" l="1"/>
  <c r="AA12" i="1"/>
  <c r="Y12" i="1"/>
  <c r="Z12" i="1"/>
  <c r="AB12" i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9" i="1"/>
  <c r="F28" i="1"/>
  <c r="P10" i="1" s="1"/>
  <c r="J15" i="1"/>
  <c r="F15" i="1"/>
  <c r="R8" i="1" l="1"/>
  <c r="G8" i="1" l="1"/>
  <c r="G10" i="1" l="1"/>
  <c r="H10" i="1"/>
  <c r="I10" i="1" l="1"/>
  <c r="L10" i="1"/>
  <c r="AD8" i="1"/>
  <c r="T8" i="1" l="1"/>
  <c r="H8" i="1" l="1"/>
  <c r="L8" i="1" l="1"/>
  <c r="I8" i="1"/>
  <c r="S8" i="1" l="1"/>
  <c r="AD11" i="1" l="1"/>
  <c r="T11" i="1" l="1"/>
  <c r="H11" i="1" l="1"/>
  <c r="G11" i="1" l="1"/>
  <c r="I11" i="1"/>
  <c r="AE15" i="1"/>
  <c r="U15" i="1"/>
  <c r="T15" i="1" l="1"/>
  <c r="Z15" i="1"/>
  <c r="AB15" i="1" l="1"/>
  <c r="AA15" i="1" l="1"/>
  <c r="N15" i="1"/>
  <c r="R15" i="1" l="1"/>
  <c r="X15" i="1" l="1"/>
  <c r="W15" i="1"/>
  <c r="V15" i="1"/>
  <c r="Y15" i="1"/>
  <c r="G15" i="1"/>
  <c r="H15" i="1" l="1"/>
  <c r="O15" i="1" l="1"/>
  <c r="Q15" i="1"/>
  <c r="I15" i="1"/>
  <c r="S15" i="1" l="1"/>
  <c r="P15" i="1"/>
  <c r="L15" i="1"/>
</calcChain>
</file>

<file path=xl/sharedStrings.xml><?xml version="1.0" encoding="utf-8"?>
<sst xmlns="http://schemas.openxmlformats.org/spreadsheetml/2006/main" count="843" uniqueCount="537">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</sst>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95.33</v>
          </cell>
        </row>
        <row r="8">
          <cell r="C8">
            <v>149391.64299999998</v>
          </cell>
        </row>
        <row r="11">
          <cell r="C11">
            <v>2445</v>
          </cell>
        </row>
        <row r="12">
          <cell r="C12">
            <v>146946.64299999998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24.304770592127053</v>
          </cell>
        </row>
        <row r="34">
          <cell r="C34">
            <v>24.880641209063874</v>
          </cell>
        </row>
        <row r="36">
          <cell r="C36">
            <v>9.4420201618000252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15.88</v>
          </cell>
        </row>
        <row r="8">
          <cell r="C8">
            <v>801.09616856000014</v>
          </cell>
        </row>
        <row r="11">
          <cell r="C11">
            <v>164.5</v>
          </cell>
        </row>
        <row r="12">
          <cell r="C12">
            <v>636.59616856000014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728</v>
          </cell>
        </row>
        <row r="27">
          <cell r="C27" t="str">
            <v>Q122</v>
          </cell>
        </row>
        <row r="32">
          <cell r="C32">
            <v>-0.96423583702713767</v>
          </cell>
        </row>
        <row r="33">
          <cell r="C33">
            <v>-50.21450968486225</v>
          </cell>
        </row>
        <row r="35">
          <cell r="C35">
            <v>1.1733497350330941</v>
          </cell>
        </row>
        <row r="37">
          <cell r="C37">
            <v>3.5983436371240685</v>
          </cell>
        </row>
        <row r="38">
          <cell r="C38">
            <v>2.420425719782521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O27">
            <v>0.55310902822720542</v>
          </cell>
        </row>
        <row r="28">
          <cell r="O28">
            <v>-1.1966602769322474E-2</v>
          </cell>
        </row>
        <row r="30">
          <cell r="O30">
            <v>-2.0263004421958795E-2</v>
          </cell>
        </row>
        <row r="31">
          <cell r="O31">
            <v>0.12839781600422653</v>
          </cell>
        </row>
        <row r="41">
          <cell r="O41">
            <v>562.51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1.1299999999999999</v>
          </cell>
        </row>
        <row r="8">
          <cell r="C8">
            <v>92.523351359999978</v>
          </cell>
        </row>
        <row r="11">
          <cell r="C11">
            <v>8.3000000000000007</v>
          </cell>
        </row>
        <row r="12">
          <cell r="C12">
            <v>84.223351359999981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3.7102797955947073</v>
          </cell>
        </row>
        <row r="35">
          <cell r="C35">
            <v>4.0759185621145306</v>
          </cell>
        </row>
        <row r="37">
          <cell r="C37">
            <v>0.89050386294513961</v>
          </cell>
        </row>
        <row r="39">
          <cell r="C39">
            <v>-2.5676413418282564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35.78</v>
          </cell>
        </row>
        <row r="8">
          <cell r="C8">
            <v>13914.901645259999</v>
          </cell>
        </row>
        <row r="11">
          <cell r="C11">
            <v>-4768.8999999999996</v>
          </cell>
        </row>
        <row r="12">
          <cell r="C12">
            <v>18683.801645259999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</row>
        <row r="33">
          <cell r="C33">
            <v>13.471618843205112</v>
          </cell>
        </row>
        <row r="34">
          <cell r="C34">
            <v>10.068932086717085</v>
          </cell>
        </row>
        <row r="36">
          <cell r="C36">
            <v>4.1363260534772177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6.69</v>
          </cell>
        </row>
        <row r="8">
          <cell r="C8">
            <v>3066.6959999999999</v>
          </cell>
        </row>
        <row r="11">
          <cell r="C11">
            <v>376.57900000000006</v>
          </cell>
        </row>
        <row r="12">
          <cell r="C12">
            <v>2690.1169999999997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422</v>
          </cell>
        </row>
        <row r="27">
          <cell r="C27">
            <v>954.39400000000001</v>
          </cell>
        </row>
        <row r="29">
          <cell r="C29" t="str">
            <v>FQ123</v>
          </cell>
        </row>
        <row r="34">
          <cell r="C34">
            <v>15.715778773521555</v>
          </cell>
        </row>
        <row r="35">
          <cell r="C35">
            <v>18.4823862349457</v>
          </cell>
        </row>
        <row r="37">
          <cell r="C37">
            <v>1.7736424834957014</v>
          </cell>
        </row>
        <row r="41">
          <cell r="C41">
            <v>8.6491744709215048</v>
          </cell>
        </row>
      </sheetData>
      <sheetData sheetId="1">
        <row r="20">
          <cell r="Y20">
            <v>92.141999999999229</v>
          </cell>
          <cell r="Z20">
            <v>-549.17700000000002</v>
          </cell>
          <cell r="AA20">
            <v>360.0600000000004</v>
          </cell>
        </row>
        <row r="24">
          <cell r="Y24" t="str">
            <v>-</v>
          </cell>
          <cell r="Z24">
            <v>-0.15045474463142361</v>
          </cell>
          <cell r="AA24">
            <v>0.27014278380938728</v>
          </cell>
        </row>
        <row r="30">
          <cell r="Q30">
            <v>0.46713889776340067</v>
          </cell>
        </row>
        <row r="31">
          <cell r="Q31">
            <v>2.5560817667452114E-2</v>
          </cell>
        </row>
        <row r="32">
          <cell r="Q32">
            <v>5.6943479778837729E-3</v>
          </cell>
        </row>
        <row r="33">
          <cell r="Q33">
            <v>0.39734494626677114</v>
          </cell>
        </row>
        <row r="80">
          <cell r="Q80">
            <v>0.15760593361675279</v>
          </cell>
        </row>
        <row r="94">
          <cell r="AA94">
            <v>0.14276675535667846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6.01</v>
          </cell>
        </row>
        <row r="8">
          <cell r="C8">
            <v>600.63939999999991</v>
          </cell>
        </row>
        <row r="11">
          <cell r="C11">
            <v>-15.399999999999977</v>
          </cell>
        </row>
        <row r="12">
          <cell r="C12">
            <v>616.03939999999989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986.4</v>
          </cell>
        </row>
        <row r="28">
          <cell r="C28" t="str">
            <v>H122</v>
          </cell>
        </row>
        <row r="36">
          <cell r="C36">
            <v>0.57205092846638639</v>
          </cell>
        </row>
      </sheetData>
      <sheetData sheetId="1">
        <row r="13">
          <cell r="Q13">
            <v>24.599999999999909</v>
          </cell>
          <cell r="R13">
            <v>113.30000000000014</v>
          </cell>
          <cell r="S13">
            <v>128.40000000000015</v>
          </cell>
        </row>
        <row r="17">
          <cell r="Q17">
            <v>0.13080709882927222</v>
          </cell>
          <cell r="R17">
            <v>0.19389061642582761</v>
          </cell>
          <cell r="S17">
            <v>0.19825340891680709</v>
          </cell>
        </row>
        <row r="20">
          <cell r="K20">
            <v>0.43071703008831885</v>
          </cell>
        </row>
        <row r="21">
          <cell r="K21">
            <v>-2.1954992265856019E-3</v>
          </cell>
        </row>
        <row r="22">
          <cell r="K22">
            <v>-6.7361908088419773E-3</v>
          </cell>
        </row>
        <row r="23">
          <cell r="K23">
            <v>0.14556962025316267</v>
          </cell>
        </row>
        <row r="71">
          <cell r="S71">
            <v>0.20639304436772793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topLeftCell="A6" workbookViewId="0">
      <selection activeCell="C17" sqref="C17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5.75" thickBot="1" x14ac:dyDescent="0.3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5.75" thickBot="1" x14ac:dyDescent="0.3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5.75" thickBot="1" x14ac:dyDescent="0.3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J36" sqref="J36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5.75" thickBot="1" x14ac:dyDescent="0.3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5.75" thickBot="1" x14ac:dyDescent="0.3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J29"/>
  <sheetViews>
    <sheetView tabSelected="1"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F16" sqref="AF16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5" width="9.140625" style="1"/>
    <col min="36" max="36" width="14.7109375" style="1" bestFit="1" customWidth="1"/>
    <col min="37" max="16384" width="9.140625" style="1"/>
  </cols>
  <sheetData>
    <row r="1" spans="1:36" x14ac:dyDescent="0.2">
      <c r="D1" s="1"/>
      <c r="F1" s="90" t="s">
        <v>499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</row>
    <row r="2" spans="1:36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</row>
    <row r="3" spans="1:36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[1]Main!$C$6*$E$28</f>
        <v>88.656900000000007</v>
      </c>
      <c r="G3" s="49">
        <f>[1]Main!$C$8*$E$28</f>
        <v>138934.22798999998</v>
      </c>
      <c r="H3" s="49">
        <f>[1]Main!$C$11*$E$28</f>
        <v>2273.85</v>
      </c>
      <c r="I3" s="49">
        <f>[1]Main!$C$12*$E$28</f>
        <v>136660.37798999998</v>
      </c>
      <c r="J3" s="4" t="str">
        <f>[1]Main!$C$28</f>
        <v>FQ123</v>
      </c>
      <c r="K3" s="86">
        <f>[1]Main!$D$28</f>
        <v>44833</v>
      </c>
      <c r="L3" s="50">
        <f>[1]Main!$C$33</f>
        <v>24.304770592127053</v>
      </c>
      <c r="O3" s="56">
        <f>'[1]Financial Model'!$AD$21*1000*E28</f>
        <v>5622.7799999999934</v>
      </c>
      <c r="P3" s="56">
        <f>'[1]Financial Model'!$AC$21*1000*E28</f>
        <v>5326.1099999999988</v>
      </c>
      <c r="Q3" s="56">
        <f>'[1]Financial Model'!$AB$21*1000*E28</f>
        <v>2361.27</v>
      </c>
      <c r="R3" s="51">
        <f>[1]Main!$C$34</f>
        <v>24.880641209063874</v>
      </c>
      <c r="S3" s="51">
        <f>[1]Main!$C$38</f>
        <v>37.504159682207103</v>
      </c>
      <c r="T3" s="51">
        <f>[1]Main!$C$36</f>
        <v>9.4420201618000252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[1]Main!$C$26*E28</f>
        <v>8985.66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6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[2]Main!$C$6*$E$28</f>
        <v>33.275400000000005</v>
      </c>
      <c r="G4" s="49">
        <f>[2]Main!$C$8*$E$28</f>
        <v>12940.8585300918</v>
      </c>
      <c r="H4" s="49">
        <f>[2]Main!$C$11*$E$28</f>
        <v>-4435.0770000000002</v>
      </c>
      <c r="I4" s="49">
        <f>[2]Main!$C$12*$E$28</f>
        <v>17375.9355300918</v>
      </c>
      <c r="J4" s="4" t="str">
        <f>[2]Main!$C$28</f>
        <v>FQ123</v>
      </c>
      <c r="L4" s="50">
        <f>[2]Main!$C$33</f>
        <v>13.471618843205112</v>
      </c>
      <c r="O4" s="56">
        <f>'[2]Financial Model'!$AA$22*E28</f>
        <v>1289.817929999999</v>
      </c>
      <c r="P4" s="56">
        <f>'[2]Financial Model'!$Z$22*$E$28</f>
        <v>379.29957000000132</v>
      </c>
      <c r="Q4" s="56">
        <f>'[2]Financial Model'!$Y$22*$E$28</f>
        <v>631.88757000000021</v>
      </c>
      <c r="R4" s="51">
        <f>[2]Main!$C$34</f>
        <v>10.068932086717085</v>
      </c>
      <c r="T4" s="51">
        <f>[2]Main!$C$36</f>
        <v>4.1363260534772177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[2]Main!$C$26*E28</f>
        <v>2177.4973500000001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6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9.8614553505535145</v>
      </c>
      <c r="S5" s="51">
        <f>[3]Main!$C$38</f>
        <v>23.595786536449214</v>
      </c>
      <c r="T5" s="51">
        <f>[3]Main!$C$36</f>
        <v>6.6149861386138609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6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13.208756530668998</v>
      </c>
      <c r="S6" s="52">
        <f>[4]Main!$C$38</f>
        <v>21.698173855148315</v>
      </c>
      <c r="T6" s="52">
        <f>[4]Main!$C$36</f>
        <v>1.9809164028971902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6" x14ac:dyDescent="0.2">
      <c r="B7" s="3" t="s">
        <v>526</v>
      </c>
      <c r="C7" s="1" t="s">
        <v>527</v>
      </c>
      <c r="D7" s="4" t="s">
        <v>13</v>
      </c>
      <c r="E7" s="4" t="s">
        <v>15</v>
      </c>
      <c r="F7" s="6">
        <f>[5]Main!$C$6</f>
        <v>7.25</v>
      </c>
      <c r="G7" s="49">
        <f>[5]Main!$C$8</f>
        <v>3461.73</v>
      </c>
      <c r="H7" s="49">
        <f>[5]Main!$C$11</f>
        <v>0</v>
      </c>
      <c r="I7" s="49">
        <f>[5]Main!$C$12</f>
        <v>3461.73</v>
      </c>
      <c r="J7" s="59"/>
      <c r="Q7" s="4"/>
      <c r="T7" s="1"/>
      <c r="U7" s="53"/>
      <c r="X7" s="4"/>
      <c r="AD7" s="49">
        <f>[5]Main!$C$26</f>
        <v>0</v>
      </c>
      <c r="AH7" s="4">
        <f>[5]Main!$C$25</f>
        <v>0</v>
      </c>
      <c r="AI7" s="4">
        <f>[5]Main!$C$24</f>
        <v>1982</v>
      </c>
      <c r="AJ7" s="4" t="str">
        <f>[5]Main!$C$23</f>
        <v>Mansfiled, UK</v>
      </c>
    </row>
    <row r="8" spans="1:36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[6]Main!$C$6*E28</f>
        <v>6.2217000000000011</v>
      </c>
      <c r="G8" s="49">
        <f>[6]Main!$C$8*E28</f>
        <v>2852.0272800000002</v>
      </c>
      <c r="H8" s="49">
        <f>[6]Main!$C$11*$E$28</f>
        <v>350.21847000000008</v>
      </c>
      <c r="I8" s="49">
        <f>[6]Main!$C$12*$E$28</f>
        <v>2501.80881</v>
      </c>
      <c r="J8" s="4" t="str">
        <f>[6]Main!$C$29</f>
        <v>FQ123</v>
      </c>
      <c r="L8" s="50">
        <f>[6]Main!$C$34</f>
        <v>15.715778773521555</v>
      </c>
      <c r="O8" s="56">
        <f>'[6]Financial Model'!$AA$20*$E$28</f>
        <v>334.85580000000039</v>
      </c>
      <c r="P8" s="56">
        <f>'[6]Financial Model'!$Z$20*$E$28</f>
        <v>-510.73461000000003</v>
      </c>
      <c r="Q8" s="56">
        <f>'[6]Financial Model'!$Y$20*$E$28</f>
        <v>85.692059999999287</v>
      </c>
      <c r="R8" s="52">
        <f>[6]Main!$C$35</f>
        <v>18.4823862349457</v>
      </c>
      <c r="S8" s="52">
        <f>[6]Main!$C$41</f>
        <v>8.6491744709215048</v>
      </c>
      <c r="T8" s="52">
        <f>[6]Main!$C$37</f>
        <v>1.7736424834957014</v>
      </c>
      <c r="U8" s="53"/>
      <c r="V8" s="53">
        <f>'[6]Financial Model'!$AA$24</f>
        <v>0.27014278380938728</v>
      </c>
      <c r="W8" s="53">
        <f>'[6]Financial Model'!$Z$24</f>
        <v>-0.15045474463142361</v>
      </c>
      <c r="X8" s="53" t="str">
        <f>'[6]Financial Model'!$Y$24</f>
        <v>-</v>
      </c>
      <c r="Y8" s="53">
        <f>'[6]Financial Model'!$Q$30</f>
        <v>0.46713889776340067</v>
      </c>
      <c r="Z8" s="53">
        <f>'[6]Financial Model'!$Q$31</f>
        <v>2.5560817667452114E-2</v>
      </c>
      <c r="AA8" s="53">
        <f>'[6]Financial Model'!$Q$32</f>
        <v>5.6943479778837729E-3</v>
      </c>
      <c r="AB8" s="53">
        <f>'[6]Financial Model'!$Q$33</f>
        <v>0.39734494626677114</v>
      </c>
      <c r="AD8" s="56">
        <f>[6]Main!$C$27*E28</f>
        <v>887.58642000000009</v>
      </c>
      <c r="AE8" s="53"/>
      <c r="AF8" s="53">
        <f>'[6]Financial Model'!$Q$80</f>
        <v>0.15760593361675279</v>
      </c>
      <c r="AG8" s="53">
        <f>'[6]Financial Model'!$AA$94</f>
        <v>0.14276675535667846</v>
      </c>
      <c r="AH8" s="57">
        <f>[6]Main!$C$26</f>
        <v>422</v>
      </c>
      <c r="AI8" s="4">
        <f>[6]Main!$C$24</f>
        <v>1996</v>
      </c>
      <c r="AJ8" s="4" t="str">
        <f>[6]Main!$C$23</f>
        <v>Baltimore, US</v>
      </c>
    </row>
    <row r="9" spans="1:36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[7]Main!$C$6*E28</f>
        <v>19.53</v>
      </c>
      <c r="G9" s="49">
        <f>[7]Main!$C$8*$E$28</f>
        <v>1809.6497999999999</v>
      </c>
      <c r="H9" s="49"/>
      <c r="I9" s="4"/>
      <c r="J9" s="56"/>
      <c r="K9" s="56"/>
      <c r="L9" s="56"/>
      <c r="M9" s="56"/>
      <c r="N9" s="56"/>
      <c r="U9" s="53"/>
      <c r="AD9" s="56"/>
    </row>
    <row r="10" spans="1:36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[8]Main!$C$6*E28</f>
        <v>9.523200000000001</v>
      </c>
      <c r="G10" s="49">
        <f>[8]Main!$C$8*E28</f>
        <v>1604.2782720000002</v>
      </c>
      <c r="H10" s="49">
        <f>[8]Main!$C$11*$E$28</f>
        <v>-164.61</v>
      </c>
      <c r="I10" s="49">
        <f>[8]Main!$C$12*$E$28</f>
        <v>1768.8882720000001</v>
      </c>
      <c r="J10" s="4" t="str">
        <f>[8]Main!$C$28</f>
        <v>Q122</v>
      </c>
      <c r="L10" s="50">
        <f>[8]Main!$C$33</f>
        <v>59.925343415248761</v>
      </c>
      <c r="O10" s="56">
        <f>'[8]Financial Model'!$Z$16*E28</f>
        <v>390.2521799999999</v>
      </c>
      <c r="P10" s="56">
        <f>'[8]Financial Model'!$Y$16*F28</f>
        <v>-225.093548387097</v>
      </c>
      <c r="Q10" s="4"/>
      <c r="R10" s="52">
        <f>[8]Main!$C$34</f>
        <v>4.0901579978361697</v>
      </c>
      <c r="T10" s="52">
        <f>[8]Main!$C$36</f>
        <v>1.2473050731522497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[8]Main!$C$26*E28</f>
        <v>634.35300000000007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6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6.01</v>
      </c>
      <c r="G11" s="49">
        <f>[9]Main!$C$8</f>
        <v>600.63939999999991</v>
      </c>
      <c r="H11" s="49">
        <f>[9]Main!$C$11</f>
        <v>-15.399999999999977</v>
      </c>
      <c r="I11" s="49">
        <f>[9]Main!$C$12</f>
        <v>616.03939999999989</v>
      </c>
      <c r="J11" s="85" t="str">
        <f>[9]Main!$C$28</f>
        <v>H122</v>
      </c>
      <c r="K11" s="85"/>
      <c r="L11" s="56"/>
      <c r="O11" s="1">
        <f>'[9]Financial Model'!$S$13</f>
        <v>128.40000000000015</v>
      </c>
      <c r="P11" s="1">
        <f>'[9]Financial Model'!$R$13</f>
        <v>113.30000000000014</v>
      </c>
      <c r="Q11" s="1">
        <f>'[9]Financial Model'!$Q$13</f>
        <v>24.599999999999909</v>
      </c>
      <c r="T11" s="52">
        <f>[9]Main!$C$36</f>
        <v>0.57205092846638639</v>
      </c>
      <c r="U11" s="53"/>
      <c r="V11" s="53">
        <f>'[9]Financial Model'!$S$17</f>
        <v>0.19825340891680709</v>
      </c>
      <c r="W11" s="53">
        <f>'[9]Financial Model'!$R$17</f>
        <v>0.19389061642582761</v>
      </c>
      <c r="X11" s="53">
        <f>'[9]Financial Model'!$Q$17</f>
        <v>0.13080709882927222</v>
      </c>
      <c r="Y11" s="53">
        <f>'[9]Financial Model'!$K$20</f>
        <v>0.43071703008831885</v>
      </c>
      <c r="Z11" s="53">
        <f>'[9]Financial Model'!$K$21</f>
        <v>-2.1954992265856019E-3</v>
      </c>
      <c r="AA11" s="53">
        <f>'[9]Financial Model'!$K$22</f>
        <v>-6.7361908088419773E-3</v>
      </c>
      <c r="AB11" s="53">
        <f>'[9]Financial Model'!$K$23</f>
        <v>0.14556962025316267</v>
      </c>
      <c r="AD11" s="56">
        <f>[9]Main!$C$26</f>
        <v>986.4</v>
      </c>
      <c r="AE11" s="53">
        <f>'[9]Financial Model'!$S$57</f>
        <v>0</v>
      </c>
      <c r="AG11" s="53">
        <f>'[9]Financial Model'!$S$71</f>
        <v>0.20639304436772793</v>
      </c>
      <c r="AH11" s="53" t="str">
        <f>'[6]Financial Model'!$Y$24</f>
        <v>-</v>
      </c>
      <c r="AI11" s="4">
        <f>[9]Main!$C$24</f>
        <v>2000</v>
      </c>
      <c r="AJ11" s="85" t="str">
        <f>[9]Main!$C$23</f>
        <v>London, UK</v>
      </c>
    </row>
    <row r="12" spans="1:36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[10]Main!$C$6*E28</f>
        <v>14.768400000000002</v>
      </c>
      <c r="G12" s="49">
        <f>[10]Main!$C$8*E28</f>
        <v>745.0194367608002</v>
      </c>
      <c r="H12" s="49">
        <f>[10]Main!$C$11*E28</f>
        <v>152.98500000000001</v>
      </c>
      <c r="I12" s="49">
        <f>[10]Main!$C$12*E28</f>
        <v>592.03443676080019</v>
      </c>
      <c r="J12" s="4" t="str">
        <f>[10]Main!$C$27</f>
        <v>Q122</v>
      </c>
      <c r="L12" s="50">
        <f>[10]Main!$C$32</f>
        <v>-0.96423583702713767</v>
      </c>
      <c r="M12" s="50">
        <f>[10]Main!$C$38</f>
        <v>2.420425719782521</v>
      </c>
      <c r="N12" s="50"/>
      <c r="O12" s="56">
        <f>'[10]Financial Model'!$X$18*E28</f>
        <v>244.59929999999974</v>
      </c>
      <c r="P12" s="56">
        <f>'[10]Financial Model'!$W$18*$E$28</f>
        <v>-106.03953000000016</v>
      </c>
      <c r="Q12" s="56">
        <f>'[10]Financial Model'!$V$18*$E$28</f>
        <v>36.602940000000572</v>
      </c>
      <c r="R12" s="52">
        <f>[10]Main!$C$33</f>
        <v>-50.21450968486225</v>
      </c>
      <c r="S12" s="52">
        <f>[10]Main!$C$37</f>
        <v>3.5983436371240685</v>
      </c>
      <c r="T12" s="52">
        <f>[10]Main!$C$35</f>
        <v>1.1733497350330941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Model'!$O$27</f>
        <v>0.55310902822720542</v>
      </c>
      <c r="Z12" s="53">
        <f>'[10]Financial Model'!$O$28</f>
        <v>-1.1966602769322474E-2</v>
      </c>
      <c r="AA12" s="53">
        <f>'[10]Financial Model'!$O$30</f>
        <v>-2.0263004421958795E-2</v>
      </c>
      <c r="AB12" s="53">
        <f>'[10]Financial Model'!$O$31</f>
        <v>0.12839781600422653</v>
      </c>
      <c r="AD12" s="56">
        <f>'[10]Financial Model'!$O$41*E28</f>
        <v>523.13430000000005</v>
      </c>
      <c r="AE12" s="53">
        <f>'[10]Financial Model'!$X$69</f>
        <v>-0.25498478543021663</v>
      </c>
      <c r="AH12" s="57">
        <f>[10]Main!$C$25</f>
        <v>728</v>
      </c>
      <c r="AI12" s="4">
        <f>[10]Main!$C$24</f>
        <v>1892</v>
      </c>
      <c r="AJ12" s="4" t="str">
        <f>[10]Main!$C$23</f>
        <v>Ohio, US</v>
      </c>
    </row>
    <row r="13" spans="1:36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1.1237883419689116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 t="str">
        <f>'[6]Financial Model'!$Y$24</f>
        <v>-</v>
      </c>
      <c r="AI13" s="4">
        <f>[11]Main!$C$24</f>
        <v>2006</v>
      </c>
      <c r="AJ13" s="4" t="str">
        <f>[11]Main!$C$23</f>
        <v>Manchester, UK</v>
      </c>
    </row>
    <row r="14" spans="1:36" x14ac:dyDescent="0.2">
      <c r="B14" s="3" t="s">
        <v>391</v>
      </c>
      <c r="C14" s="1" t="s">
        <v>392</v>
      </c>
      <c r="D14" s="4" t="s">
        <v>13</v>
      </c>
      <c r="E14" s="4" t="s">
        <v>15</v>
      </c>
      <c r="F14" s="7">
        <f>[12]Main!$C$6</f>
        <v>1.0900000000000001</v>
      </c>
      <c r="G14" s="49">
        <f>[12]Main!$C$8</f>
        <v>201.23580000000001</v>
      </c>
      <c r="H14" s="58">
        <f>[12]Main!$C$11</f>
        <v>14.5</v>
      </c>
      <c r="I14" s="58">
        <f>[12]Main!$C$12</f>
        <v>186.73580000000001</v>
      </c>
      <c r="J14" s="4" t="str">
        <f>[12]Main!$C$28</f>
        <v>FY22</v>
      </c>
      <c r="Q14" s="4"/>
      <c r="T14" s="1"/>
      <c r="U14" s="53"/>
      <c r="V14" s="53">
        <f>'[12]Financial Model'!$T$23</f>
        <v>0.20588400900900905</v>
      </c>
      <c r="X14" s="4"/>
      <c r="Y14" s="53">
        <f>'[12]Financial Model'!$T$26</f>
        <v>0.55486890948567691</v>
      </c>
      <c r="Z14" s="53">
        <f>'[12]Financial Model'!$T$27</f>
        <v>-8.0487007680993719E-2</v>
      </c>
      <c r="AA14" s="53">
        <f>'[12]Financial Model'!$T$28</f>
        <v>-8.2866014521513875E-2</v>
      </c>
      <c r="AB14" s="53">
        <f>'[12]Financial Model'!$T$29</f>
        <v>0.19258416742493159</v>
      </c>
      <c r="AD14" s="56">
        <f>[12]Main!$C$26</f>
        <v>103.071</v>
      </c>
      <c r="AE14" s="53">
        <f>'[12]Financial Model'!$T$74</f>
        <v>0.17328795191694746</v>
      </c>
      <c r="AG14" s="53">
        <f>'[12]Financial Model'!$T$76</f>
        <v>0.24063455746737328</v>
      </c>
      <c r="AH14" s="4">
        <f>[12]Main!$C$25</f>
        <v>85</v>
      </c>
      <c r="AI14" s="4">
        <f>[12]Main!$C$24</f>
        <v>1987</v>
      </c>
      <c r="AJ14" s="4" t="str">
        <f>[12]Main!$C$23</f>
        <v>London, UK</v>
      </c>
    </row>
    <row r="15" spans="1:36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1.1299999999999999</v>
      </c>
      <c r="G15" s="49">
        <f>[13]Main!$C$8</f>
        <v>92.523351359999978</v>
      </c>
      <c r="H15" s="49">
        <f>[13]Main!$C$11</f>
        <v>8.3000000000000007</v>
      </c>
      <c r="I15" s="49">
        <f>[13]Main!$C$12</f>
        <v>84.223351359999981</v>
      </c>
      <c r="J15" s="4" t="str">
        <f>[13]Main!$C$29</f>
        <v>FY22</v>
      </c>
      <c r="K15" s="87">
        <f>[13]Main!$D$29</f>
        <v>44841</v>
      </c>
      <c r="L15" s="50">
        <f>[13]Main!$C$34</f>
        <v>3.7102797955947073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4.0759185621145306</v>
      </c>
      <c r="S15" s="51">
        <f>[13]Main!$C$39</f>
        <v>-2.5676413418282564</v>
      </c>
      <c r="T15" s="51">
        <f>[13]Main!$C$37</f>
        <v>0.89050386294513961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6" x14ac:dyDescent="0.2">
      <c r="B16" s="3"/>
      <c r="F16" s="7"/>
      <c r="G16" s="49"/>
      <c r="H16" s="49"/>
      <c r="I16" s="49"/>
      <c r="L16" s="50"/>
      <c r="R16" s="51"/>
      <c r="S16" s="51"/>
      <c r="T16" s="51"/>
      <c r="U16" s="51"/>
      <c r="V16" s="53"/>
      <c r="W16" s="53"/>
      <c r="X16" s="53"/>
      <c r="Y16" s="53"/>
      <c r="Z16" s="53"/>
      <c r="AA16" s="53"/>
      <c r="AB16" s="53"/>
      <c r="AD16" s="55"/>
      <c r="AE16" s="53"/>
      <c r="AH16" s="57"/>
      <c r="AI16" s="4"/>
      <c r="AJ16" s="4"/>
    </row>
    <row r="17" spans="2:14" x14ac:dyDescent="0.2">
      <c r="B17" s="1" t="s">
        <v>12</v>
      </c>
      <c r="C17" s="1" t="s">
        <v>494</v>
      </c>
      <c r="D17" s="4" t="s">
        <v>13</v>
      </c>
      <c r="G17" s="49"/>
      <c r="H17" s="49"/>
      <c r="I17" s="49"/>
      <c r="L17" s="56"/>
      <c r="M17" s="5"/>
      <c r="N17" s="5"/>
    </row>
    <row r="18" spans="2:14" x14ac:dyDescent="0.2">
      <c r="B18" s="1" t="s">
        <v>214</v>
      </c>
      <c r="C18" s="1" t="s">
        <v>488</v>
      </c>
      <c r="D18" s="4" t="s">
        <v>489</v>
      </c>
      <c r="G18" s="49"/>
      <c r="H18" s="49"/>
      <c r="I18" s="4"/>
      <c r="J18" s="1"/>
      <c r="K18" s="1"/>
      <c r="L18" s="56"/>
      <c r="M18" s="56"/>
      <c r="N18" s="56"/>
    </row>
    <row r="19" spans="2:14" x14ac:dyDescent="0.2">
      <c r="B19" s="1" t="s">
        <v>445</v>
      </c>
      <c r="C19" s="1" t="s">
        <v>446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14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14" x14ac:dyDescent="0.2">
      <c r="G21" s="49"/>
      <c r="H21" s="49"/>
      <c r="I21" s="4"/>
      <c r="J21" s="1"/>
      <c r="K21" s="1"/>
      <c r="L21" s="56"/>
      <c r="M21" s="56"/>
      <c r="N21" s="56"/>
    </row>
    <row r="22" spans="2:14" x14ac:dyDescent="0.2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14" x14ac:dyDescent="0.2">
      <c r="B23" s="1" t="s">
        <v>511</v>
      </c>
      <c r="C23" s="1" t="s">
        <v>512</v>
      </c>
      <c r="D23" s="4" t="s">
        <v>31</v>
      </c>
      <c r="E23" s="4" t="s">
        <v>505</v>
      </c>
      <c r="G23" s="49"/>
      <c r="H23" s="49"/>
      <c r="I23" s="4"/>
      <c r="J23" s="1"/>
      <c r="K23" s="1"/>
      <c r="L23" s="56"/>
      <c r="M23" s="56"/>
      <c r="N23" s="56"/>
    </row>
    <row r="24" spans="2:14" x14ac:dyDescent="0.2">
      <c r="I24" s="4"/>
      <c r="J24" s="1"/>
      <c r="K24" s="1"/>
      <c r="M24" s="56"/>
      <c r="N24" s="56"/>
    </row>
    <row r="25" spans="2:14" x14ac:dyDescent="0.2">
      <c r="I25" s="4"/>
      <c r="J25" s="1"/>
      <c r="K25" s="1"/>
      <c r="M25" s="56"/>
      <c r="N25" s="56"/>
    </row>
    <row r="26" spans="2:14" x14ac:dyDescent="0.2">
      <c r="I26" s="4"/>
      <c r="J26" s="1"/>
      <c r="K26" s="1"/>
      <c r="M26" s="56"/>
      <c r="N26" s="56"/>
    </row>
    <row r="27" spans="2:14" x14ac:dyDescent="0.2">
      <c r="D27" s="88" t="s">
        <v>495</v>
      </c>
      <c r="E27" s="89"/>
      <c r="F27" s="42" t="s">
        <v>496</v>
      </c>
      <c r="I27" s="4"/>
      <c r="J27" s="1"/>
      <c r="K27" s="1"/>
    </row>
    <row r="28" spans="2:14" x14ac:dyDescent="0.2">
      <c r="D28" s="43" t="s">
        <v>497</v>
      </c>
      <c r="E28" s="44">
        <v>0.93</v>
      </c>
      <c r="F28" s="45">
        <f>1/E28</f>
        <v>1.075268817204301</v>
      </c>
      <c r="I28" s="4"/>
      <c r="J28" s="1"/>
      <c r="K28" s="1"/>
    </row>
    <row r="29" spans="2:14" x14ac:dyDescent="0.2">
      <c r="D29" s="46" t="s">
        <v>498</v>
      </c>
      <c r="E29" s="48">
        <v>0.89</v>
      </c>
      <c r="F29" s="47">
        <f>1/E29</f>
        <v>1.1235955056179776</v>
      </c>
      <c r="I29" s="4"/>
      <c r="J29" s="1"/>
      <c r="K29" s="1"/>
    </row>
  </sheetData>
  <mergeCells count="2">
    <mergeCell ref="D27:E27"/>
    <mergeCell ref="F1:AE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</hyperlinks>
  <pageMargins left="0.7" right="0.7" top="0.75" bottom="0.75" header="0.3" footer="0.3"/>
  <pageSetup paperSize="256" orientation="portrait" horizontalDpi="203" verticalDpi="203" r:id="rId14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2022-10-10T10:17:50Z</dcterms:modified>
</cp:coreProperties>
</file>