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E38ADEF1-D3F4-4DE2-9D12-09736E661B91}" xr6:coauthVersionLast="36" xr6:coauthVersionMax="47" xr10:uidLastSave="{00000000-0000-0000-0000-000000000000}"/>
  <bookViews>
    <workbookView xWindow="1440" yWindow="825" windowWidth="31320" windowHeight="18585" activeTab="1" xr2:uid="{18B12511-5A40-4110-901F-9E6EE9F0D34B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7" i="2" l="1"/>
  <c r="N108" i="2" s="1"/>
  <c r="N105" i="2"/>
  <c r="N96" i="2"/>
  <c r="N90" i="2"/>
  <c r="O108" i="2"/>
  <c r="O107" i="2"/>
  <c r="O105" i="2"/>
  <c r="O96" i="2"/>
  <c r="O90" i="2"/>
  <c r="N83" i="2"/>
  <c r="N82" i="2"/>
  <c r="N81" i="2"/>
  <c r="N80" i="2"/>
  <c r="N79" i="2"/>
  <c r="N76" i="2"/>
  <c r="N77" i="2" s="1"/>
  <c r="N72" i="2"/>
  <c r="N71" i="2"/>
  <c r="N73" i="2" s="1"/>
  <c r="N68" i="2"/>
  <c r="N69" i="2" s="1"/>
  <c r="N42" i="2"/>
  <c r="N62" i="2"/>
  <c r="O38" i="2"/>
  <c r="N38" i="2"/>
  <c r="O82" i="2"/>
  <c r="O80" i="2"/>
  <c r="O79" i="2"/>
  <c r="O76" i="2"/>
  <c r="O69" i="2"/>
  <c r="O72" i="2"/>
  <c r="O71" i="2"/>
  <c r="O73" i="2" s="1"/>
  <c r="N29" i="2"/>
  <c r="O28" i="2"/>
  <c r="O29" i="2" s="1"/>
  <c r="N28" i="2"/>
  <c r="O27" i="2"/>
  <c r="N27" i="2"/>
  <c r="O26" i="2"/>
  <c r="N26" i="2"/>
  <c r="O20" i="2"/>
  <c r="N20" i="2"/>
  <c r="O23" i="2"/>
  <c r="N16" i="2"/>
  <c r="P23" i="2"/>
  <c r="O16" i="2"/>
  <c r="O10" i="2"/>
  <c r="O15" i="2" s="1"/>
  <c r="N10" i="2"/>
  <c r="N15" i="2" s="1"/>
  <c r="O68" i="2"/>
  <c r="O66" i="2"/>
  <c r="O62" i="2"/>
  <c r="S63" i="2"/>
  <c r="R63" i="2"/>
  <c r="Q63" i="2"/>
  <c r="P63" i="2"/>
  <c r="O63" i="2"/>
  <c r="K63" i="2"/>
  <c r="I63" i="2"/>
  <c r="H63" i="2"/>
  <c r="G63" i="2"/>
  <c r="F63" i="2"/>
  <c r="E63" i="2"/>
  <c r="D63" i="2"/>
  <c r="C63" i="2"/>
  <c r="D58" i="2"/>
  <c r="C58" i="2"/>
  <c r="F58" i="2"/>
  <c r="E58" i="2"/>
  <c r="G58" i="2"/>
  <c r="H58" i="2"/>
  <c r="J58" i="2"/>
  <c r="I58" i="2"/>
  <c r="K58" i="2"/>
  <c r="S58" i="2"/>
  <c r="R58" i="2"/>
  <c r="Q58" i="2"/>
  <c r="P58" i="2"/>
  <c r="N58" i="2"/>
  <c r="N63" i="2" s="1"/>
  <c r="N66" i="2" s="1"/>
  <c r="O58" i="2"/>
  <c r="N47" i="2"/>
  <c r="N52" i="2" s="1"/>
  <c r="P47" i="2"/>
  <c r="O47" i="2"/>
  <c r="O52" i="2" s="1"/>
  <c r="O42" i="2"/>
  <c r="O77" i="2" l="1"/>
  <c r="N17" i="2"/>
  <c r="N19" i="2" s="1"/>
  <c r="O17" i="2"/>
  <c r="O19" i="2" s="1"/>
  <c r="R82" i="2"/>
  <c r="R76" i="2"/>
  <c r="R77" i="2" s="1"/>
  <c r="R72" i="2"/>
  <c r="R71" i="2"/>
  <c r="R73" i="2" s="1"/>
  <c r="R66" i="2"/>
  <c r="R42" i="2"/>
  <c r="S82" i="2"/>
  <c r="S80" i="2"/>
  <c r="S76" i="2"/>
  <c r="S72" i="2"/>
  <c r="S71" i="2"/>
  <c r="S73" i="2" s="1"/>
  <c r="S68" i="2"/>
  <c r="S69" i="2" s="1"/>
  <c r="S79" i="2" s="1"/>
  <c r="S66" i="2"/>
  <c r="S52" i="2"/>
  <c r="P52" i="2"/>
  <c r="R47" i="2"/>
  <c r="R52" i="2" s="1"/>
  <c r="R68" i="2" s="1"/>
  <c r="R69" i="2" s="1"/>
  <c r="R79" i="2" s="1"/>
  <c r="Q47" i="2"/>
  <c r="Q52" i="2" s="1"/>
  <c r="S47" i="2"/>
  <c r="S42" i="2"/>
  <c r="D75" i="2"/>
  <c r="F75" i="2"/>
  <c r="H75" i="2"/>
  <c r="J75" i="2"/>
  <c r="I76" i="2"/>
  <c r="K76" i="2"/>
  <c r="J7" i="2"/>
  <c r="J6" i="2"/>
  <c r="J5" i="2"/>
  <c r="J4" i="2"/>
  <c r="O81" i="2" l="1"/>
  <c r="O83" i="2"/>
  <c r="R83" i="2"/>
  <c r="R81" i="2"/>
  <c r="R80" i="2"/>
  <c r="S77" i="2"/>
  <c r="P107" i="2"/>
  <c r="Q107" i="2"/>
  <c r="K105" i="2"/>
  <c r="I105" i="2"/>
  <c r="P105" i="2"/>
  <c r="S105" i="2"/>
  <c r="R105" i="2"/>
  <c r="Q105" i="2"/>
  <c r="R96" i="2"/>
  <c r="Q96" i="2"/>
  <c r="P96" i="2"/>
  <c r="K96" i="2"/>
  <c r="I96" i="2"/>
  <c r="S96" i="2"/>
  <c r="S81" i="2" l="1"/>
  <c r="S83" i="2"/>
  <c r="P108" i="2"/>
  <c r="Q108" i="2"/>
  <c r="J36" i="2"/>
  <c r="J35" i="2"/>
  <c r="J37" i="2"/>
  <c r="J38" i="2"/>
  <c r="Q38" i="2"/>
  <c r="P38" i="2"/>
  <c r="S8" i="2"/>
  <c r="J8" i="2" s="1"/>
  <c r="R8" i="2"/>
  <c r="P8" i="2"/>
  <c r="Q8" i="2"/>
  <c r="R107" i="2"/>
  <c r="R90" i="2"/>
  <c r="Q90" i="2"/>
  <c r="P90" i="2"/>
  <c r="R38" i="2"/>
  <c r="S38" i="2"/>
  <c r="J34" i="2"/>
  <c r="J21" i="2"/>
  <c r="J18" i="2"/>
  <c r="J16" i="2"/>
  <c r="J14" i="2"/>
  <c r="J13" i="2"/>
  <c r="J12" i="2"/>
  <c r="J11" i="2"/>
  <c r="J9" i="2"/>
  <c r="C25" i="1"/>
  <c r="R10" i="2"/>
  <c r="R15" i="2" s="1"/>
  <c r="R17" i="2" s="1"/>
  <c r="R19" i="2" s="1"/>
  <c r="R20" i="2" s="1"/>
  <c r="C26" i="1"/>
  <c r="I72" i="2"/>
  <c r="I71" i="2"/>
  <c r="I42" i="2"/>
  <c r="I47" i="2" s="1"/>
  <c r="I52" i="2" s="1"/>
  <c r="I66" i="2"/>
  <c r="J47" i="2"/>
  <c r="J52" i="2" s="1"/>
  <c r="H47" i="2"/>
  <c r="H52" i="2" s="1"/>
  <c r="G47" i="2"/>
  <c r="G52" i="2" s="1"/>
  <c r="F47" i="2"/>
  <c r="F52" i="2" s="1"/>
  <c r="E47" i="2"/>
  <c r="E52" i="2" s="1"/>
  <c r="D47" i="2"/>
  <c r="D52" i="2" s="1"/>
  <c r="C47" i="2"/>
  <c r="C52" i="2" s="1"/>
  <c r="J2" i="2"/>
  <c r="J104" i="2"/>
  <c r="J103" i="2"/>
  <c r="J101" i="2"/>
  <c r="J105" i="2" s="1"/>
  <c r="J95" i="2"/>
  <c r="J94" i="2"/>
  <c r="J93" i="2"/>
  <c r="J89" i="2"/>
  <c r="J88" i="2"/>
  <c r="J87" i="2"/>
  <c r="J90" i="2" s="1"/>
  <c r="S107" i="2"/>
  <c r="S90" i="2"/>
  <c r="I107" i="2"/>
  <c r="J96" i="2" l="1"/>
  <c r="K24" i="2"/>
  <c r="K80" i="2"/>
  <c r="S108" i="2"/>
  <c r="I68" i="2"/>
  <c r="I69" i="2" s="1"/>
  <c r="I79" i="2" s="1"/>
  <c r="R23" i="2"/>
  <c r="S10" i="2"/>
  <c r="S15" i="2" s="1"/>
  <c r="S17" i="2" s="1"/>
  <c r="S19" i="2" s="1"/>
  <c r="S28" i="2" s="1"/>
  <c r="S29" i="2" s="1"/>
  <c r="Q10" i="2"/>
  <c r="Q15" i="2" s="1"/>
  <c r="Q17" i="2" s="1"/>
  <c r="Q19" i="2" s="1"/>
  <c r="Q20" i="2" s="1"/>
  <c r="S23" i="2"/>
  <c r="R108" i="2"/>
  <c r="Q23" i="2"/>
  <c r="J10" i="2"/>
  <c r="J26" i="2" s="1"/>
  <c r="P10" i="2"/>
  <c r="P15" i="2" s="1"/>
  <c r="P17" i="2" s="1"/>
  <c r="P19" i="2" s="1"/>
  <c r="P20" i="2" s="1"/>
  <c r="J24" i="2"/>
  <c r="J107" i="2"/>
  <c r="J108" i="2" s="1"/>
  <c r="R26" i="2"/>
  <c r="I73" i="2"/>
  <c r="I77" i="2" s="1"/>
  <c r="R27" i="2"/>
  <c r="I108" i="2"/>
  <c r="R28" i="2"/>
  <c r="R29" i="2" s="1"/>
  <c r="J15" i="2"/>
  <c r="J27" i="2" s="1"/>
  <c r="K107" i="2"/>
  <c r="I90" i="2"/>
  <c r="K90" i="2"/>
  <c r="K72" i="2"/>
  <c r="C10" i="1" s="1"/>
  <c r="K71" i="2"/>
  <c r="C9" i="1" s="1"/>
  <c r="K66" i="2"/>
  <c r="K42" i="2"/>
  <c r="K47" i="2" s="1"/>
  <c r="K52" i="2" s="1"/>
  <c r="D28" i="1"/>
  <c r="C28" i="1"/>
  <c r="D7" i="1" s="1"/>
  <c r="C7" i="1"/>
  <c r="K10" i="2"/>
  <c r="K15" i="2" s="1"/>
  <c r="K17" i="2" s="1"/>
  <c r="K19" i="2" s="1"/>
  <c r="I10" i="2"/>
  <c r="K23" i="2"/>
  <c r="S27" i="2" l="1"/>
  <c r="S20" i="2"/>
  <c r="S26" i="2"/>
  <c r="Q27" i="2"/>
  <c r="Q28" i="2"/>
  <c r="Q29" i="2" s="1"/>
  <c r="Q26" i="2"/>
  <c r="P26" i="2"/>
  <c r="P28" i="2"/>
  <c r="P29" i="2" s="1"/>
  <c r="P27" i="2"/>
  <c r="K27" i="2"/>
  <c r="J17" i="2"/>
  <c r="J19" i="2" s="1"/>
  <c r="J28" i="2" s="1"/>
  <c r="J29" i="2" s="1"/>
  <c r="K20" i="2"/>
  <c r="K28" i="2"/>
  <c r="K29" i="2" s="1"/>
  <c r="K73" i="2"/>
  <c r="K77" i="2" s="1"/>
  <c r="D9" i="1"/>
  <c r="D10" i="1"/>
  <c r="K108" i="2"/>
  <c r="K26" i="2"/>
  <c r="I26" i="2"/>
  <c r="I15" i="2"/>
  <c r="K68" i="2"/>
  <c r="K69" i="2" s="1"/>
  <c r="C11" i="1"/>
  <c r="C8" i="1"/>
  <c r="C34" i="1" s="1"/>
  <c r="C33" i="1" l="1"/>
  <c r="K79" i="2"/>
  <c r="K83" i="2"/>
  <c r="K81" i="2"/>
  <c r="J20" i="2"/>
  <c r="I17" i="2"/>
  <c r="I19" i="2" s="1"/>
  <c r="I27" i="2"/>
  <c r="C12" i="1"/>
  <c r="C37" i="1" l="1"/>
  <c r="C35" i="1"/>
  <c r="K82" i="2"/>
  <c r="C36" i="1"/>
  <c r="I20" i="2"/>
  <c r="I28" i="2"/>
  <c r="I29" i="2" s="1"/>
</calcChain>
</file>

<file path=xl/sharedStrings.xml><?xml version="1.0" encoding="utf-8"?>
<sst xmlns="http://schemas.openxmlformats.org/spreadsheetml/2006/main" count="160" uniqueCount="140">
  <si>
    <t>£TEG</t>
  </si>
  <si>
    <t>Ten Entertainment Group Plc</t>
  </si>
  <si>
    <t>Stock Overview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</si>
  <si>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</si>
  <si>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</si>
  <si>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</si>
  <si>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</si>
  <si>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</si>
  <si>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</si>
  <si>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</si>
  <si>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</si>
  <si>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Profile</t>
  </si>
  <si>
    <t>HQ</t>
  </si>
  <si>
    <t>Founded</t>
  </si>
  <si>
    <t>Sites</t>
  </si>
  <si>
    <t>IR</t>
  </si>
  <si>
    <t>Link</t>
  </si>
  <si>
    <t>CEO/ED</t>
  </si>
  <si>
    <t>Graham Blackwell</t>
  </si>
  <si>
    <t>CFO, ED</t>
  </si>
  <si>
    <t>Antony Smith</t>
  </si>
  <si>
    <t>COO</t>
  </si>
  <si>
    <t>Bret Astle</t>
  </si>
  <si>
    <t>Cranfield, UK</t>
  </si>
  <si>
    <t>Emply.</t>
  </si>
  <si>
    <t>Key Events</t>
  </si>
  <si>
    <t>Dundee &amp; Milton Keynes site due to open in 2023</t>
  </si>
  <si>
    <t>Valuation Metrics</t>
  </si>
  <si>
    <t>P/B</t>
  </si>
  <si>
    <t>P/S</t>
  </si>
  <si>
    <t>EV/S</t>
  </si>
  <si>
    <t>P/E</t>
  </si>
  <si>
    <t>EV/E</t>
  </si>
  <si>
    <t>H122</t>
  </si>
  <si>
    <t>Revenue</t>
  </si>
  <si>
    <t>COGS</t>
  </si>
  <si>
    <t>Gross Profit</t>
  </si>
  <si>
    <t>Administrative</t>
  </si>
  <si>
    <t>Loss on JV</t>
  </si>
  <si>
    <t>Reversal of Impairment</t>
  </si>
  <si>
    <t>Exceptional Income</t>
  </si>
  <si>
    <t>Operating Profit</t>
  </si>
  <si>
    <t>Finance Costs</t>
  </si>
  <si>
    <t>Pretax Income</t>
  </si>
  <si>
    <t>Taxes</t>
  </si>
  <si>
    <t>Net Income</t>
  </si>
  <si>
    <t>EPS</t>
  </si>
  <si>
    <t>H121</t>
  </si>
  <si>
    <t>Revenue Y/Y</t>
  </si>
  <si>
    <t>Revenue H/H</t>
  </si>
  <si>
    <t>Gross Margin</t>
  </si>
  <si>
    <t>Operating Margin</t>
  </si>
  <si>
    <t>Net Margin</t>
  </si>
  <si>
    <t>Tax Rate</t>
  </si>
  <si>
    <t>Non-Finance Metrics</t>
  </si>
  <si>
    <t>Update</t>
  </si>
  <si>
    <t>Joint Ventures</t>
  </si>
  <si>
    <t>H221</t>
  </si>
  <si>
    <t>FY18</t>
  </si>
  <si>
    <t>FY19</t>
  </si>
  <si>
    <t>FY20</t>
  </si>
  <si>
    <t>FY21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</si>
  <si>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</si>
  <si>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</si>
  <si>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</si>
  <si>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</si>
  <si>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</si>
  <si>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</si>
  <si>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</si>
  <si>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</si>
  <si>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</si>
  <si>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</si>
  <si>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</si>
  <si>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£310k in 50:50 at end of FY19</t>
  </si>
  <si>
    <t>Houdini's Escape Room Ltd.</t>
  </si>
  <si>
    <t>Balance Sheet</t>
  </si>
  <si>
    <t>Goodwill+Intangibles</t>
  </si>
  <si>
    <t>Investments in JV</t>
  </si>
  <si>
    <t>PP&amp;E</t>
  </si>
  <si>
    <t>ROU</t>
  </si>
  <si>
    <t>Deferred Taxes</t>
  </si>
  <si>
    <t>Total NCA</t>
  </si>
  <si>
    <t>Inventories</t>
  </si>
  <si>
    <t>Trade &amp; A/R</t>
  </si>
  <si>
    <t>Tax Receivables</t>
  </si>
  <si>
    <t>Assets</t>
  </si>
  <si>
    <t>Trade &amp; A/P</t>
  </si>
  <si>
    <t>TCL</t>
  </si>
  <si>
    <t>Liabiltiies</t>
  </si>
  <si>
    <t>S/E</t>
  </si>
  <si>
    <t>S/E+L</t>
  </si>
  <si>
    <t>Book Value</t>
  </si>
  <si>
    <t>Book Value per Share</t>
  </si>
  <si>
    <t>Share Price</t>
  </si>
  <si>
    <t>Cashflow Statement</t>
  </si>
  <si>
    <t>Cash from Operations</t>
  </si>
  <si>
    <t>Corporation Tax Received</t>
  </si>
  <si>
    <t>Finance Costs Paid</t>
  </si>
  <si>
    <t>CFFO</t>
  </si>
  <si>
    <t>Acquisition of Sites</t>
  </si>
  <si>
    <t>Purchase of PP&amp;E</t>
  </si>
  <si>
    <t>Purchase of Software</t>
  </si>
  <si>
    <t>CFFI</t>
  </si>
  <si>
    <t>Lease Principal Payments</t>
  </si>
  <si>
    <t>Drawdown of Bank Borrowings</t>
  </si>
  <si>
    <t>Repayment of Borrowings</t>
  </si>
  <si>
    <t>CFFF</t>
  </si>
  <si>
    <t>CapEx</t>
  </si>
  <si>
    <t>FCF</t>
  </si>
  <si>
    <t>Bank Borrowings &amp; Lease</t>
  </si>
  <si>
    <t>Businesses</t>
  </si>
  <si>
    <t>H220</t>
  </si>
  <si>
    <t>H219</t>
  </si>
  <si>
    <t>H218</t>
  </si>
  <si>
    <t>H118</t>
  </si>
  <si>
    <t>H119</t>
  </si>
  <si>
    <t>H120</t>
  </si>
  <si>
    <t>Employees</t>
  </si>
  <si>
    <t>-</t>
  </si>
  <si>
    <t>Centres</t>
  </si>
  <si>
    <t>Site Staff</t>
  </si>
  <si>
    <t>Administration</t>
  </si>
  <si>
    <t>Unit Management</t>
  </si>
  <si>
    <t>Proceeds from Share Issue</t>
  </si>
  <si>
    <t>Costs from Share Issue</t>
  </si>
  <si>
    <t>Dividends Paid</t>
  </si>
  <si>
    <t>Bowling</t>
  </si>
  <si>
    <t>Food &amp; Drink</t>
  </si>
  <si>
    <t>Machines &amp; Amusements</t>
  </si>
  <si>
    <t>Other</t>
  </si>
  <si>
    <t>Investment in Joint Venture</t>
  </si>
  <si>
    <t>Cash costs from New Borrowing</t>
  </si>
  <si>
    <t>FY16</t>
  </si>
  <si>
    <t>FY17</t>
  </si>
  <si>
    <t>Corporation Tax Payable</t>
  </si>
  <si>
    <t>Provisions</t>
  </si>
  <si>
    <t>Other Non-Current Liabilities</t>
  </si>
  <si>
    <t>Shareholder Loan Notes</t>
  </si>
  <si>
    <t>.</t>
  </si>
  <si>
    <t>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</si>
</sst>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\x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8"/>
      <color theme="1" tint="0.499984740745262"/>
      <name val="Arial"/>
      <family val="2"/>
    </font>
    <font>
      <b/>
      <sz val="10"/>
      <color theme="1" tint="0.499984740745262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3" borderId="4" xfId="0" applyFont="1" applyFill="1" applyBorder="1"/>
    <xf numFmtId="0" fontId="3" fillId="3" borderId="6" xfId="0" applyFont="1" applyFill="1" applyBorder="1"/>
    <xf numFmtId="164" fontId="1" fillId="0" borderId="0" xfId="0" applyNumberFormat="1" applyFont="1"/>
    <xf numFmtId="164" fontId="1" fillId="0" borderId="7" xfId="0" applyNumberFormat="1" applyFont="1" applyBorder="1"/>
    <xf numFmtId="0" fontId="3" fillId="3" borderId="4" xfId="0" applyFont="1" applyFill="1" applyBorder="1" applyAlignment="1">
      <alignment horizontal="center"/>
    </xf>
    <xf numFmtId="0" fontId="1" fillId="4" borderId="0" xfId="0" applyFont="1" applyFill="1"/>
    <xf numFmtId="0" fontId="1" fillId="4" borderId="5" xfId="0" applyFont="1" applyFill="1" applyBorder="1"/>
    <xf numFmtId="0" fontId="3" fillId="3" borderId="6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/>
    <xf numFmtId="16" fontId="6" fillId="0" borderId="0" xfId="0" applyNumberFormat="1" applyFont="1"/>
    <xf numFmtId="0" fontId="7" fillId="0" borderId="0" xfId="0" applyFont="1"/>
    <xf numFmtId="0" fontId="5" fillId="0" borderId="0" xfId="1" applyFont="1" applyAlignment="1">
      <alignment horizontal="right"/>
    </xf>
    <xf numFmtId="14" fontId="6" fillId="0" borderId="0" xfId="0" applyNumberFormat="1" applyFont="1"/>
    <xf numFmtId="9" fontId="3" fillId="0" borderId="0" xfId="0" applyNumberFormat="1" applyFont="1"/>
    <xf numFmtId="0" fontId="8" fillId="0" borderId="0" xfId="0" applyFont="1"/>
    <xf numFmtId="9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16" fontId="1" fillId="4" borderId="5" xfId="0" applyNumberFormat="1" applyFont="1" applyFill="1" applyBorder="1" applyAlignment="1">
      <alignment horizontal="center"/>
    </xf>
    <xf numFmtId="164" fontId="3" fillId="0" borderId="0" xfId="0" applyNumberFormat="1" applyFont="1"/>
    <xf numFmtId="0" fontId="1" fillId="4" borderId="6" xfId="0" applyFont="1" applyFill="1" applyBorder="1"/>
    <xf numFmtId="0" fontId="3" fillId="5" borderId="0" xfId="0" applyFont="1" applyFill="1" applyAlignment="1">
      <alignment horizontal="right"/>
    </xf>
    <xf numFmtId="0" fontId="6" fillId="5" borderId="0" xfId="0" applyFont="1" applyFill="1"/>
    <xf numFmtId="0" fontId="3" fillId="5" borderId="0" xfId="0" applyFont="1" applyFill="1"/>
    <xf numFmtId="0" fontId="1" fillId="5" borderId="0" xfId="0" applyFont="1" applyFill="1"/>
    <xf numFmtId="2" fontId="1" fillId="5" borderId="0" xfId="0" applyNumberFormat="1" applyFont="1" applyFill="1"/>
    <xf numFmtId="165" fontId="1" fillId="5" borderId="0" xfId="0" applyNumberFormat="1" applyFont="1" applyFill="1"/>
    <xf numFmtId="0" fontId="3" fillId="4" borderId="4" xfId="0" applyFont="1" applyFill="1" applyBorder="1"/>
    <xf numFmtId="0" fontId="1" fillId="4" borderId="4" xfId="0" applyFont="1" applyFill="1" applyBorder="1" applyAlignment="1">
      <alignment horizontal="left" indent="1"/>
    </xf>
    <xf numFmtId="0" fontId="9" fillId="0" borderId="0" xfId="0" applyFont="1"/>
    <xf numFmtId="0" fontId="9" fillId="5" borderId="0" xfId="0" applyFont="1" applyFill="1"/>
    <xf numFmtId="164" fontId="9" fillId="0" borderId="0" xfId="0" applyNumberFormat="1" applyFont="1"/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64" fontId="1" fillId="5" borderId="0" xfId="0" applyNumberFormat="1" applyFont="1" applyFill="1"/>
    <xf numFmtId="164" fontId="3" fillId="5" borderId="0" xfId="0" applyNumberFormat="1" applyFont="1" applyFill="1"/>
    <xf numFmtId="0" fontId="1" fillId="4" borderId="6" xfId="0" applyFont="1" applyFill="1" applyBorder="1" applyAlignment="1">
      <alignment horizontal="left" indent="1"/>
    </xf>
    <xf numFmtId="14" fontId="6" fillId="5" borderId="0" xfId="0" applyNumberFormat="1" applyFont="1" applyFill="1"/>
    <xf numFmtId="9" fontId="1" fillId="5" borderId="0" xfId="0" applyNumberFormat="1" applyFont="1" applyFill="1"/>
    <xf numFmtId="9" fontId="1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 indent="1"/>
    </xf>
    <xf numFmtId="3" fontId="9" fillId="0" borderId="0" xfId="0" applyNumberFormat="1" applyFont="1"/>
    <xf numFmtId="3" fontId="9" fillId="5" borderId="0" xfId="0" applyNumberFormat="1" applyFont="1" applyFill="1"/>
    <xf numFmtId="3" fontId="3" fillId="0" borderId="0" xfId="0" applyNumberFormat="1" applyFont="1"/>
    <xf numFmtId="3" fontId="3" fillId="5" borderId="0" xfId="0" applyNumberFormat="1" applyFont="1" applyFill="1"/>
    <xf numFmtId="164" fontId="9" fillId="0" borderId="0" xfId="0" applyNumberFormat="1" applyFont="1" applyAlignment="1">
      <alignment horizontal="left" indent="1"/>
    </xf>
    <xf numFmtId="164" fontId="9" fillId="5" borderId="0" xfId="0" applyNumberFormat="1" applyFont="1" applyFill="1"/>
    <xf numFmtId="166" fontId="1" fillId="0" borderId="0" xfId="0" applyNumberFormat="1" applyFont="1"/>
    <xf numFmtId="166" fontId="1" fillId="5" borderId="0" xfId="0" applyNumberFormat="1" applyFont="1" applyFill="1"/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6" fontId="1" fillId="4" borderId="0" xfId="0" applyNumberFormat="1" applyFont="1" applyFill="1" applyAlignment="1">
      <alignment horizontal="center"/>
    </xf>
    <xf numFmtId="166" fontId="1" fillId="4" borderId="5" xfId="0" applyNumberFormat="1" applyFont="1" applyFill="1" applyBorder="1" applyAlignment="1">
      <alignment horizontal="center"/>
    </xf>
    <xf numFmtId="0" fontId="5" fillId="4" borderId="7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3" fontId="1" fillId="4" borderId="0" xfId="0" applyNumberFormat="1" applyFont="1" applyFill="1" applyAlignment="1">
      <alignment horizontal="center"/>
    </xf>
    <xf numFmtId="3" fontId="1" fillId="4" borderId="5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165" fontId="3" fillId="0" borderId="0" xfId="0" applyNumberFormat="1" applyFont="1"/>
    <xf numFmtId="17" fontId="1" fillId="4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368300</xdr:colOff>
      <xdr:row>0</xdr:row>
      <xdr:rowOff>88900</xdr:rowOff>
    </xdr:from>
    <xdr:to>
      <xdr:col>5</xdr:col>
      <xdr:colOff>317500</xdr:colOff>
      <xdr:row>4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E5E63D-AE7A-17F0-A15B-87674A75F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300" y="88900"/>
          <a:ext cx="6477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0</xdr:row>
      <xdr:rowOff>0</xdr:rowOff>
    </xdr:from>
    <xdr:to>
      <xdr:col>11</xdr:col>
      <xdr:colOff>9525</xdr:colOff>
      <xdr:row>127</xdr:row>
      <xdr:rowOff>104775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59D08D9-148C-4C12-8747-FCB7F528FFED}"/>
            </a:ext>
          </a:extLst>
        </xdr:cNvPr>
        <xdr:cNvCxnSpPr/>
      </xdr:nvCxnSpPr>
      <xdr:spPr>
        <a:xfrm>
          <a:off x="7115175" y="0"/>
          <a:ext cx="0" cy="180784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0</xdr:row>
      <xdr:rowOff>0</xdr:rowOff>
    </xdr:from>
    <xdr:to>
      <xdr:col>19</xdr:col>
      <xdr:colOff>0</xdr:colOff>
      <xdr:row>127</xdr:row>
      <xdr:rowOff>104775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BDB451A-2F43-4C9A-89BC-76E93336F7D5}"/>
            </a:ext>
          </a:extLst>
        </xdr:cNvPr>
        <xdr:cNvCxnSpPr/>
      </xdr:nvCxnSpPr>
      <xdr:spPr>
        <a:xfrm>
          <a:off x="11372850" y="0"/>
          <a:ext cx="0" cy="180784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tegplc.co.uk/results-reports/results-centr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gplc.co.uk/files/file/download/id/134" TargetMode="External"/><Relationship Id="rId2" Type="http://schemas.openxmlformats.org/officeDocument/2006/relationships/hyperlink" Target="https://www.tegplc.co.uk/files/file/download/id/210" TargetMode="External"/><Relationship Id="rId1" Type="http://schemas.openxmlformats.org/officeDocument/2006/relationships/hyperlink" Target="https://www.tegplc.co.uk/files/file/download/id/245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egplc.co.uk/files/file/download/id/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FB80-2819-4CCA-9F78-6AC8529FFC68}">
  <dimension ref="B2:S38"/>
  <sheetViews>
    <sheetView workbookViewId="0">
      <selection activeCell="G34" sqref="G34"/>
    </sheetView>
  </sheetViews>
  <sheetFormatPr defaultColWidth="9.140625" defaultRowHeight="12.75" x14ac:dyDescent="0.2"/>
  <cols>
    <col min="1" max="16384" width="9.140625" style="1"/>
  </cols>
  <sheetData>
    <row r="2" spans="2:19" ht="15" x14ac:dyDescent="0.25">
      <c r="B2" s="2" t="s">
        <v>0</v>
      </c>
      <c r="F2"/>
    </row>
    <row r="3" spans="2:19" x14ac:dyDescent="0.2">
      <c r="B3" s="3" t="s">
        <v>1</v>
      </c>
    </row>
    <row r="5" spans="2:19" x14ac:dyDescent="0.2">
      <c r="B5" s="65" t="s">
        <v>2</v>
      </c>
      <c r="C5" s="66"/>
      <c r="D5" s="67"/>
      <c r="G5" s="65" t="s">
        <v>25</v>
      </c>
      <c r="H5" s="66"/>
      <c r="I5" s="66"/>
      <c r="J5" s="66"/>
      <c r="K5" s="66"/>
      <c r="L5" s="66"/>
      <c r="M5" s="67"/>
      <c r="Q5" s="65" t="s">
        <v>110</v>
      </c>
      <c r="R5" s="66"/>
      <c r="S5" s="67"/>
    </row>
    <row r="6" spans="2:19" x14ac:dyDescent="0.2">
      <c r="B6" s="4" t="s">
        <v>3</v>
      </c>
      <c r="C6" s="1">
        <v>2.7210000000000001</v>
      </c>
      <c r="D6" s="15"/>
      <c r="G6" s="11">
        <v>2023</v>
      </c>
      <c r="H6" s="13" t="s">
        <v>26</v>
      </c>
      <c r="I6" s="13"/>
      <c r="J6" s="13"/>
      <c r="K6" s="13"/>
      <c r="L6" s="13"/>
      <c r="M6" s="14"/>
      <c r="Q6" s="38"/>
      <c r="R6" s="9"/>
      <c r="S6" s="10"/>
    </row>
    <row r="7" spans="2:19" x14ac:dyDescent="0.2">
      <c r="B7" s="4" t="s">
        <v>4</v>
      </c>
      <c r="C7" s="27">
        <f>'Financial Model'!K21</f>
        <v>68.381495999999999</v>
      </c>
      <c r="D7" s="15" t="str">
        <f>$C$28</f>
        <v>H122</v>
      </c>
      <c r="Q7" s="38"/>
      <c r="R7" s="9"/>
      <c r="S7" s="10"/>
    </row>
    <row r="8" spans="2:19" x14ac:dyDescent="0.2">
      <c r="B8" s="4" t="s">
        <v>5</v>
      </c>
      <c r="C8" s="6">
        <f>C6*C7</f>
        <v>186.06605061600001</v>
      </c>
      <c r="D8" s="15"/>
      <c r="Q8" s="38"/>
      <c r="R8" s="9"/>
      <c r="S8" s="10"/>
    </row>
    <row r="9" spans="2:19" x14ac:dyDescent="0.2">
      <c r="B9" s="4" t="s">
        <v>6</v>
      </c>
      <c r="C9" s="6">
        <f>'Financial Model'!K71</f>
        <v>7.734</v>
      </c>
      <c r="D9" s="15" t="str">
        <f t="shared" ref="D9:D10" si="0">$C$28</f>
        <v>H122</v>
      </c>
      <c r="Q9" s="38"/>
      <c r="R9" s="9"/>
      <c r="S9" s="10"/>
    </row>
    <row r="10" spans="2:19" x14ac:dyDescent="0.2">
      <c r="B10" s="4" t="s">
        <v>7</v>
      </c>
      <c r="C10" s="6">
        <f>'Financial Model'!K72</f>
        <v>207.95099999999999</v>
      </c>
      <c r="D10" s="15" t="str">
        <f t="shared" si="0"/>
        <v>H122</v>
      </c>
      <c r="Q10" s="38"/>
      <c r="R10" s="9"/>
      <c r="S10" s="10"/>
    </row>
    <row r="11" spans="2:19" x14ac:dyDescent="0.2">
      <c r="B11" s="4" t="s">
        <v>8</v>
      </c>
      <c r="C11" s="6">
        <f>C9-C10</f>
        <v>-200.21699999999998</v>
      </c>
      <c r="D11" s="15"/>
      <c r="Q11" s="38"/>
      <c r="R11" s="9"/>
      <c r="S11" s="10"/>
    </row>
    <row r="12" spans="2:19" x14ac:dyDescent="0.2">
      <c r="B12" s="5" t="s">
        <v>9</v>
      </c>
      <c r="C12" s="7">
        <f>C8-C11</f>
        <v>386.28305061599997</v>
      </c>
      <c r="D12" s="16"/>
      <c r="Q12" s="38"/>
      <c r="R12" s="9"/>
      <c r="S12" s="10"/>
    </row>
    <row r="13" spans="2:19" x14ac:dyDescent="0.2">
      <c r="Q13" s="38"/>
      <c r="R13" s="9"/>
      <c r="S13" s="10"/>
    </row>
    <row r="14" spans="2:19" x14ac:dyDescent="0.2">
      <c r="Q14" s="38"/>
      <c r="R14" s="9"/>
      <c r="S14" s="10"/>
    </row>
    <row r="15" spans="2:19" x14ac:dyDescent="0.2">
      <c r="B15" s="65" t="s">
        <v>10</v>
      </c>
      <c r="C15" s="66"/>
      <c r="D15" s="67"/>
      <c r="Q15" s="38"/>
      <c r="R15" s="9"/>
      <c r="S15" s="10"/>
    </row>
    <row r="16" spans="2:19" x14ac:dyDescent="0.2">
      <c r="B16" s="42" t="s">
        <v>17</v>
      </c>
      <c r="C16" s="70" t="s">
        <v>18</v>
      </c>
      <c r="D16" s="71"/>
      <c r="Q16" s="46"/>
      <c r="R16" s="13"/>
      <c r="S16" s="14"/>
    </row>
    <row r="17" spans="2:19" x14ac:dyDescent="0.2">
      <c r="B17" s="42" t="s">
        <v>19</v>
      </c>
      <c r="C17" s="70" t="s">
        <v>20</v>
      </c>
      <c r="D17" s="71"/>
    </row>
    <row r="18" spans="2:19" x14ac:dyDescent="0.2">
      <c r="B18" s="42" t="s">
        <v>21</v>
      </c>
      <c r="C18" s="70" t="s">
        <v>22</v>
      </c>
      <c r="D18" s="71"/>
    </row>
    <row r="19" spans="2:19" x14ac:dyDescent="0.2">
      <c r="B19" s="43"/>
      <c r="C19" s="59"/>
      <c r="D19" s="60"/>
      <c r="Q19" s="65" t="s">
        <v>56</v>
      </c>
      <c r="R19" s="66"/>
      <c r="S19" s="67"/>
    </row>
    <row r="20" spans="2:19" x14ac:dyDescent="0.2">
      <c r="Q20" s="37" t="s">
        <v>74</v>
      </c>
      <c r="R20" s="9"/>
      <c r="S20" s="10"/>
    </row>
    <row r="21" spans="2:19" x14ac:dyDescent="0.2">
      <c r="Q21" s="38" t="s">
        <v>73</v>
      </c>
      <c r="R21" s="9"/>
      <c r="S21" s="10"/>
    </row>
    <row r="22" spans="2:19" x14ac:dyDescent="0.2">
      <c r="B22" s="65" t="s">
        <v>11</v>
      </c>
      <c r="C22" s="66"/>
      <c r="D22" s="67"/>
      <c r="Q22" s="30"/>
      <c r="R22" s="13"/>
      <c r="S22" s="14"/>
    </row>
    <row r="23" spans="2:19" x14ac:dyDescent="0.2">
      <c r="B23" s="8" t="s">
        <v>12</v>
      </c>
      <c r="C23" s="70" t="s">
        <v>23</v>
      </c>
      <c r="D23" s="71"/>
    </row>
    <row r="24" spans="2:19" x14ac:dyDescent="0.2">
      <c r="B24" s="8" t="s">
        <v>13</v>
      </c>
      <c r="C24" s="70">
        <v>2009</v>
      </c>
      <c r="D24" s="71"/>
    </row>
    <row r="25" spans="2:19" x14ac:dyDescent="0.2">
      <c r="B25" s="8" t="s">
        <v>14</v>
      </c>
      <c r="C25" s="70">
        <f>'Financial Model'!T34</f>
        <v>48</v>
      </c>
      <c r="D25" s="71"/>
    </row>
    <row r="26" spans="2:19" x14ac:dyDescent="0.2">
      <c r="B26" s="8" t="s">
        <v>24</v>
      </c>
      <c r="C26" s="68">
        <f>'Financial Model'!K38</f>
        <v>1500</v>
      </c>
      <c r="D26" s="69"/>
    </row>
    <row r="27" spans="2:19" x14ac:dyDescent="0.2">
      <c r="B27" s="8" t="s">
        <v>139</v>
      </c>
      <c r="C27" s="73">
        <v>42837</v>
      </c>
      <c r="D27" s="71"/>
    </row>
    <row r="28" spans="2:19" x14ac:dyDescent="0.2">
      <c r="B28" s="8" t="s">
        <v>55</v>
      </c>
      <c r="C28" s="12" t="str">
        <f>'Financial Model'!K1</f>
        <v>H122</v>
      </c>
      <c r="D28" s="28">
        <f>'Financial Model'!K3</f>
        <v>45190</v>
      </c>
    </row>
    <row r="29" spans="2:19" x14ac:dyDescent="0.2">
      <c r="B29" s="11" t="s">
        <v>15</v>
      </c>
      <c r="C29" s="63" t="s">
        <v>16</v>
      </c>
      <c r="D29" s="64"/>
    </row>
    <row r="32" spans="2:19" x14ac:dyDescent="0.2">
      <c r="B32" s="65" t="s">
        <v>27</v>
      </c>
      <c r="C32" s="66"/>
      <c r="D32" s="67"/>
    </row>
    <row r="33" spans="2:4" x14ac:dyDescent="0.2">
      <c r="B33" s="8" t="s">
        <v>28</v>
      </c>
      <c r="C33" s="61">
        <f>C6/'Financial Model'!K69</f>
        <v>3.5367722369936718</v>
      </c>
      <c r="D33" s="62"/>
    </row>
    <row r="34" spans="2:4" x14ac:dyDescent="0.2">
      <c r="B34" s="8" t="s">
        <v>29</v>
      </c>
      <c r="C34" s="61">
        <f>C8/SUM('Financial Model'!J8:K8)</f>
        <v>1.5486275426012701</v>
      </c>
      <c r="D34" s="62"/>
    </row>
    <row r="35" spans="2:4" x14ac:dyDescent="0.2">
      <c r="B35" s="8" t="s">
        <v>30</v>
      </c>
      <c r="C35" s="61">
        <f>C12/SUM('Financial Model'!J8:K8)</f>
        <v>3.215033421967723</v>
      </c>
      <c r="D35" s="62"/>
    </row>
    <row r="36" spans="2:4" x14ac:dyDescent="0.2">
      <c r="B36" s="8" t="s">
        <v>31</v>
      </c>
      <c r="C36" s="61">
        <f>C6/SUM('Financial Model'!J20:K20)</f>
        <v>5.9823787638134727</v>
      </c>
      <c r="D36" s="62"/>
    </row>
    <row r="37" spans="2:4" x14ac:dyDescent="0.2">
      <c r="B37" s="8" t="s">
        <v>32</v>
      </c>
      <c r="C37" s="61">
        <f>C12/SUM('Financial Model'!J19:K19)</f>
        <v>12.421475677406907</v>
      </c>
      <c r="D37" s="62"/>
    </row>
    <row r="38" spans="2:4" x14ac:dyDescent="0.2">
      <c r="B38" s="11"/>
      <c r="C38" s="59"/>
      <c r="D38" s="60"/>
    </row>
  </sheetData>
  <mergeCells count="23">
    <mergeCell ref="C27:D27"/>
    <mergeCell ref="Q19:S19"/>
    <mergeCell ref="Q5:S5"/>
    <mergeCell ref="C26:D26"/>
    <mergeCell ref="B32:D32"/>
    <mergeCell ref="C33:D33"/>
    <mergeCell ref="C19:D19"/>
    <mergeCell ref="B5:D5"/>
    <mergeCell ref="B15:D15"/>
    <mergeCell ref="C16:D16"/>
    <mergeCell ref="C17:D17"/>
    <mergeCell ref="C18:D18"/>
    <mergeCell ref="G5:M5"/>
    <mergeCell ref="B22:D22"/>
    <mergeCell ref="C23:D23"/>
    <mergeCell ref="C24:D24"/>
    <mergeCell ref="C25:D25"/>
    <mergeCell ref="C38:D38"/>
    <mergeCell ref="C37:D37"/>
    <mergeCell ref="C35:D35"/>
    <mergeCell ref="C34:D34"/>
    <mergeCell ref="C29:D29"/>
    <mergeCell ref="C36:D36"/>
  </mergeCells>
  <hyperlinks>
    <hyperlink ref="C29:D29" r:id="rId1" display="Link" xr:uid="{872569F1-2E0E-45DC-998D-58DC741E9E5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C83F-EC03-4F38-8C2B-BF6F054B4FFD}">
  <dimension ref="B1:AE108"/>
  <sheetViews>
    <sheetView tabSelected="1" workbookViewId="0">
      <pane xSplit="2" ySplit="3" topLeftCell="C73" activePane="bottomRight" state="frozen"/>
      <selection pane="topRight" activeCell="C1" sqref="C1"/>
      <selection pane="bottomLeft" activeCell="A4" sqref="A4"/>
      <selection pane="bottomRight" activeCell="O107" sqref="N107:O108"/>
    </sheetView>
  </sheetViews>
  <sheetFormatPr defaultColWidth="9.140625" defaultRowHeight="12.75" x14ac:dyDescent="0.2"/>
  <cols>
    <col min="1" max="1" width="4.28515625" style="1" customWidth="1"/>
    <col min="2" max="2" width="26.42578125" style="1" bestFit="1" customWidth="1"/>
    <col min="3" max="3" width="9.140625" style="1"/>
    <col min="4" max="4" width="9.140625" style="34"/>
    <col min="5" max="5" width="9.140625" style="1"/>
    <col min="6" max="6" width="9.140625" style="34"/>
    <col min="7" max="7" width="9.140625" style="1"/>
    <col min="8" max="8" width="9.140625" style="34"/>
    <col min="9" max="9" width="9.140625" style="1"/>
    <col min="10" max="10" width="9.140625" style="34"/>
    <col min="11" max="16384" width="9.140625" style="1"/>
  </cols>
  <sheetData>
    <row r="1" spans="2:31" s="17" customFormat="1" x14ac:dyDescent="0.2">
      <c r="C1" s="17" t="s">
        <v>114</v>
      </c>
      <c r="D1" s="31" t="s">
        <v>113</v>
      </c>
      <c r="E1" s="17" t="s">
        <v>115</v>
      </c>
      <c r="F1" s="31" t="s">
        <v>112</v>
      </c>
      <c r="G1" s="17" t="s">
        <v>116</v>
      </c>
      <c r="H1" s="31" t="s">
        <v>111</v>
      </c>
      <c r="I1" s="17" t="s">
        <v>47</v>
      </c>
      <c r="J1" s="31" t="s">
        <v>57</v>
      </c>
      <c r="K1" s="21" t="s">
        <v>33</v>
      </c>
      <c r="N1" s="17" t="s">
        <v>132</v>
      </c>
      <c r="O1" s="21" t="s">
        <v>133</v>
      </c>
      <c r="P1" s="17" t="s">
        <v>58</v>
      </c>
      <c r="Q1" s="21" t="s">
        <v>59</v>
      </c>
      <c r="R1" s="17" t="s">
        <v>60</v>
      </c>
      <c r="S1" s="21" t="s">
        <v>61</v>
      </c>
      <c r="T1" s="17" t="s">
        <v>62</v>
      </c>
      <c r="U1" s="17" t="s">
        <v>62</v>
      </c>
      <c r="V1" s="17" t="s">
        <v>63</v>
      </c>
      <c r="W1" s="17" t="s">
        <v>64</v>
      </c>
      <c r="X1" s="17" t="s">
        <v>65</v>
      </c>
      <c r="Y1" s="17" t="s">
        <v>66</v>
      </c>
      <c r="Z1" s="17" t="s">
        <v>67</v>
      </c>
      <c r="AA1" s="17" t="s">
        <v>68</v>
      </c>
      <c r="AB1" s="17" t="s">
        <v>69</v>
      </c>
      <c r="AC1" s="17" t="s">
        <v>70</v>
      </c>
      <c r="AD1" s="17" t="s">
        <v>71</v>
      </c>
      <c r="AE1" s="17" t="s">
        <v>72</v>
      </c>
    </row>
    <row r="2" spans="2:31" s="18" customFormat="1" x14ac:dyDescent="0.2">
      <c r="B2" s="20"/>
      <c r="D2" s="32"/>
      <c r="E2" s="22">
        <v>43645</v>
      </c>
      <c r="F2" s="32"/>
      <c r="G2" s="22">
        <v>44010</v>
      </c>
      <c r="H2" s="32"/>
      <c r="I2" s="22">
        <v>44374</v>
      </c>
      <c r="J2" s="47">
        <f>S2</f>
        <v>44556</v>
      </c>
      <c r="K2" s="22">
        <v>44738</v>
      </c>
      <c r="N2" s="22">
        <v>42736</v>
      </c>
      <c r="O2" s="22">
        <v>43100</v>
      </c>
      <c r="P2" s="22">
        <v>43464</v>
      </c>
      <c r="Q2" s="22">
        <v>43828</v>
      </c>
      <c r="R2" s="22">
        <v>44192</v>
      </c>
      <c r="S2" s="22">
        <v>44556</v>
      </c>
    </row>
    <row r="3" spans="2:31" s="18" customFormat="1" x14ac:dyDescent="0.2">
      <c r="B3" s="20"/>
      <c r="D3" s="32"/>
      <c r="F3" s="32"/>
      <c r="H3" s="32"/>
      <c r="J3" s="32"/>
      <c r="K3" s="19">
        <v>45190</v>
      </c>
      <c r="O3" s="19">
        <v>45006</v>
      </c>
      <c r="Q3" s="19">
        <v>45059</v>
      </c>
      <c r="S3" s="19">
        <v>45014</v>
      </c>
      <c r="T3" s="19"/>
    </row>
    <row r="4" spans="2:31" s="41" customFormat="1" x14ac:dyDescent="0.2">
      <c r="B4" s="55" t="s">
        <v>126</v>
      </c>
      <c r="D4" s="56"/>
      <c r="F4" s="56"/>
      <c r="H4" s="56"/>
      <c r="I4" s="41">
        <v>4.8330000000000002</v>
      </c>
      <c r="J4" s="56">
        <f>S4-I4</f>
        <v>24.942999999999998</v>
      </c>
      <c r="K4" s="41">
        <v>28.266999999999999</v>
      </c>
      <c r="P4" s="41">
        <v>36.578000000000003</v>
      </c>
      <c r="Q4" s="41">
        <v>39.911999999999999</v>
      </c>
      <c r="R4" s="41">
        <v>16.829999999999998</v>
      </c>
      <c r="S4" s="41">
        <v>29.776</v>
      </c>
    </row>
    <row r="5" spans="2:31" s="41" customFormat="1" x14ac:dyDescent="0.2">
      <c r="B5" s="55" t="s">
        <v>127</v>
      </c>
      <c r="D5" s="56"/>
      <c r="F5" s="56"/>
      <c r="H5" s="56"/>
      <c r="I5" s="41">
        <v>2.875</v>
      </c>
      <c r="J5" s="56">
        <f t="shared" ref="J5:J7" si="0">S5-I5</f>
        <v>16.219000000000001</v>
      </c>
      <c r="K5" s="41">
        <v>17.276</v>
      </c>
      <c r="P5" s="41">
        <v>19.811</v>
      </c>
      <c r="Q5" s="41">
        <v>21.425999999999998</v>
      </c>
      <c r="R5" s="41">
        <v>9.8979999999999997</v>
      </c>
      <c r="S5" s="41">
        <v>19.094000000000001</v>
      </c>
    </row>
    <row r="6" spans="2:31" s="41" customFormat="1" x14ac:dyDescent="0.2">
      <c r="B6" s="55" t="s">
        <v>128</v>
      </c>
      <c r="D6" s="56"/>
      <c r="F6" s="56"/>
      <c r="H6" s="56"/>
      <c r="I6" s="41">
        <v>2.5790000000000002</v>
      </c>
      <c r="J6" s="56">
        <f t="shared" si="0"/>
        <v>13.701000000000001</v>
      </c>
      <c r="K6" s="41">
        <v>15.143000000000001</v>
      </c>
      <c r="P6" s="41">
        <v>16.986999999999998</v>
      </c>
      <c r="Q6" s="41">
        <v>19.649000000000001</v>
      </c>
      <c r="R6" s="41">
        <v>8.298</v>
      </c>
      <c r="S6" s="41">
        <v>16.28</v>
      </c>
    </row>
    <row r="7" spans="2:31" s="41" customFormat="1" x14ac:dyDescent="0.2">
      <c r="B7" s="55" t="s">
        <v>129</v>
      </c>
      <c r="D7" s="56"/>
      <c r="F7" s="56"/>
      <c r="H7" s="56"/>
      <c r="I7" s="41">
        <v>0.32300000000000001</v>
      </c>
      <c r="J7" s="56">
        <f t="shared" si="0"/>
        <v>2.048</v>
      </c>
      <c r="K7" s="41">
        <v>2.552</v>
      </c>
      <c r="P7" s="41">
        <v>2.9740000000000002</v>
      </c>
      <c r="Q7" s="41">
        <v>3.1349999999999998</v>
      </c>
      <c r="R7" s="41">
        <v>1.2430000000000001</v>
      </c>
      <c r="S7" s="41">
        <v>2.371</v>
      </c>
    </row>
    <row r="8" spans="2:31" s="3" customFormat="1" x14ac:dyDescent="0.2">
      <c r="B8" s="3" t="s">
        <v>34</v>
      </c>
      <c r="D8" s="33"/>
      <c r="F8" s="33"/>
      <c r="H8" s="33"/>
      <c r="I8" s="29">
        <v>10.61</v>
      </c>
      <c r="J8" s="45">
        <f>S8-I8</f>
        <v>56.911000000000001</v>
      </c>
      <c r="K8" s="29">
        <v>63.238</v>
      </c>
      <c r="N8" s="29">
        <v>67.319000000000003</v>
      </c>
      <c r="O8" s="29">
        <v>71.040000000000006</v>
      </c>
      <c r="P8" s="29">
        <f>SUM(P4:P7)</f>
        <v>76.350000000000009</v>
      </c>
      <c r="Q8" s="29">
        <f>SUM(Q4:Q7)</f>
        <v>84.122</v>
      </c>
      <c r="R8" s="29">
        <f>SUM(R4:R7)</f>
        <v>36.268999999999998</v>
      </c>
      <c r="S8" s="29">
        <f>SUM(S4:S7)</f>
        <v>67.521000000000001</v>
      </c>
    </row>
    <row r="9" spans="2:31" x14ac:dyDescent="0.2">
      <c r="B9" s="1" t="s">
        <v>35</v>
      </c>
      <c r="I9" s="6">
        <v>4.1539999999999999</v>
      </c>
      <c r="J9" s="44">
        <f>S9-I9</f>
        <v>18.356999999999999</v>
      </c>
      <c r="K9" s="6">
        <v>19.707000000000001</v>
      </c>
      <c r="N9" s="6">
        <v>20.638999999999999</v>
      </c>
      <c r="O9" s="6">
        <v>21.478000000000002</v>
      </c>
      <c r="P9" s="6">
        <v>22.422999999999998</v>
      </c>
      <c r="Q9" s="6">
        <v>24.93</v>
      </c>
      <c r="R9" s="6">
        <v>14.095000000000001</v>
      </c>
      <c r="S9" s="6">
        <v>22.510999999999999</v>
      </c>
    </row>
    <row r="10" spans="2:31" s="3" customFormat="1" x14ac:dyDescent="0.2">
      <c r="B10" s="3" t="s">
        <v>36</v>
      </c>
      <c r="D10" s="33"/>
      <c r="F10" s="33"/>
      <c r="H10" s="33"/>
      <c r="I10" s="29">
        <f>I8-I9</f>
        <v>6.4559999999999995</v>
      </c>
      <c r="J10" s="45">
        <f>J8-J9</f>
        <v>38.554000000000002</v>
      </c>
      <c r="K10" s="29">
        <f>K8-K9</f>
        <v>43.530999999999999</v>
      </c>
      <c r="N10" s="29">
        <f t="shared" ref="N10:R10" si="1">N8-N9</f>
        <v>46.680000000000007</v>
      </c>
      <c r="O10" s="29">
        <f t="shared" si="1"/>
        <v>49.562000000000005</v>
      </c>
      <c r="P10" s="29">
        <f t="shared" si="1"/>
        <v>53.927000000000007</v>
      </c>
      <c r="Q10" s="29">
        <f t="shared" si="1"/>
        <v>59.192</v>
      </c>
      <c r="R10" s="29">
        <f t="shared" si="1"/>
        <v>22.173999999999999</v>
      </c>
      <c r="S10" s="29">
        <f>S8-S9</f>
        <v>45.010000000000005</v>
      </c>
    </row>
    <row r="11" spans="2:31" x14ac:dyDescent="0.2">
      <c r="B11" s="1" t="s">
        <v>37</v>
      </c>
      <c r="I11" s="6">
        <v>14.558999999999999</v>
      </c>
      <c r="J11" s="44">
        <f t="shared" ref="J11:J18" si="2">S11-I11</f>
        <v>21.152000000000001</v>
      </c>
      <c r="K11" s="6">
        <v>24.021999999999998</v>
      </c>
      <c r="N11" s="6">
        <v>36.923999999999999</v>
      </c>
      <c r="O11" s="6">
        <v>39.64</v>
      </c>
      <c r="P11" s="6">
        <v>42.564999999999998</v>
      </c>
      <c r="Q11" s="6">
        <v>46.609000000000002</v>
      </c>
      <c r="R11" s="6">
        <v>35.503999999999998</v>
      </c>
      <c r="S11" s="6">
        <v>35.710999999999999</v>
      </c>
    </row>
    <row r="12" spans="2:31" x14ac:dyDescent="0.2">
      <c r="B12" s="1" t="s">
        <v>38</v>
      </c>
      <c r="I12" s="6">
        <v>0</v>
      </c>
      <c r="J12" s="44">
        <f t="shared" si="2"/>
        <v>0</v>
      </c>
      <c r="K12" s="6">
        <v>0.31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</row>
    <row r="13" spans="2:31" x14ac:dyDescent="0.2">
      <c r="B13" s="1" t="s">
        <v>39</v>
      </c>
      <c r="I13" s="6">
        <v>0</v>
      </c>
      <c r="J13" s="44">
        <f t="shared" si="2"/>
        <v>1.1240000000000001</v>
      </c>
      <c r="K13" s="6">
        <v>0.747</v>
      </c>
      <c r="N13" s="6">
        <v>0</v>
      </c>
      <c r="O13" s="6">
        <v>0</v>
      </c>
      <c r="P13" s="6">
        <v>0</v>
      </c>
      <c r="Q13" s="6">
        <v>0</v>
      </c>
      <c r="R13" s="6">
        <v>-2.5209999999999999</v>
      </c>
      <c r="S13" s="6">
        <v>1.1240000000000001</v>
      </c>
    </row>
    <row r="14" spans="2:31" x14ac:dyDescent="0.2">
      <c r="B14" s="1" t="s">
        <v>40</v>
      </c>
      <c r="I14" s="6">
        <v>0</v>
      </c>
      <c r="J14" s="44">
        <f t="shared" si="2"/>
        <v>0</v>
      </c>
      <c r="K14" s="6">
        <v>4.601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</row>
    <row r="15" spans="2:31" s="3" customFormat="1" x14ac:dyDescent="0.2">
      <c r="B15" s="3" t="s">
        <v>41</v>
      </c>
      <c r="D15" s="33"/>
      <c r="F15" s="33"/>
      <c r="H15" s="33"/>
      <c r="I15" s="29">
        <f>I10-I11-I12+I13+I14</f>
        <v>-8.1029999999999998</v>
      </c>
      <c r="J15" s="45">
        <f>J10-J11-J12+J13+J14</f>
        <v>18.526</v>
      </c>
      <c r="K15" s="29">
        <f>K10-K11-K12+K13+K14</f>
        <v>24.547000000000001</v>
      </c>
      <c r="N15" s="29">
        <f t="shared" ref="N15:R15" si="3">N10-N11-N12+N13+N14</f>
        <v>9.7560000000000073</v>
      </c>
      <c r="O15" s="29">
        <f t="shared" si="3"/>
        <v>9.9220000000000041</v>
      </c>
      <c r="P15" s="29">
        <f t="shared" si="3"/>
        <v>11.362000000000009</v>
      </c>
      <c r="Q15" s="29">
        <f t="shared" si="3"/>
        <v>12.582999999999998</v>
      </c>
      <c r="R15" s="29">
        <f t="shared" si="3"/>
        <v>-15.850999999999999</v>
      </c>
      <c r="S15" s="29">
        <f>S10-S11-S12+S13+S14</f>
        <v>10.423000000000007</v>
      </c>
    </row>
    <row r="16" spans="2:31" x14ac:dyDescent="0.2">
      <c r="B16" s="1" t="s">
        <v>42</v>
      </c>
      <c r="I16" s="6">
        <v>-2.6659999999999999</v>
      </c>
      <c r="J16" s="44">
        <f t="shared" si="2"/>
        <v>-3.32</v>
      </c>
      <c r="K16" s="6">
        <v>-3.532</v>
      </c>
      <c r="N16" s="6">
        <f>0.904-5.224</f>
        <v>-4.32</v>
      </c>
      <c r="O16" s="6">
        <f>-0.703-1.927</f>
        <v>-2.63</v>
      </c>
      <c r="P16" s="6">
        <v>-0.69299999999999995</v>
      </c>
      <c r="Q16" s="6">
        <v>-0.78800000000000003</v>
      </c>
      <c r="R16" s="6">
        <v>-5.8150000000000004</v>
      </c>
      <c r="S16" s="6">
        <v>-5.9859999999999998</v>
      </c>
    </row>
    <row r="17" spans="2:19" x14ac:dyDescent="0.2">
      <c r="B17" s="1" t="s">
        <v>43</v>
      </c>
      <c r="I17" s="6">
        <f>I15+I16</f>
        <v>-10.769</v>
      </c>
      <c r="J17" s="44">
        <f>J15+J16</f>
        <v>15.206</v>
      </c>
      <c r="K17" s="6">
        <f>K15+K16</f>
        <v>21.015000000000001</v>
      </c>
      <c r="N17" s="6">
        <f t="shared" ref="N17:P17" si="4">N15+N16</f>
        <v>5.436000000000007</v>
      </c>
      <c r="O17" s="6">
        <f t="shared" si="4"/>
        <v>7.2920000000000043</v>
      </c>
      <c r="P17" s="6">
        <f t="shared" si="4"/>
        <v>10.669000000000009</v>
      </c>
      <c r="Q17" s="6">
        <f t="shared" ref="Q17" si="5">Q15+Q16</f>
        <v>11.794999999999998</v>
      </c>
      <c r="R17" s="6">
        <f>R15+R16</f>
        <v>-21.666</v>
      </c>
      <c r="S17" s="6">
        <f>S15+S16</f>
        <v>4.4370000000000074</v>
      </c>
    </row>
    <row r="18" spans="2:19" x14ac:dyDescent="0.2">
      <c r="B18" s="1" t="s">
        <v>44</v>
      </c>
      <c r="I18" s="6">
        <v>-1.97</v>
      </c>
      <c r="J18" s="44">
        <f t="shared" si="2"/>
        <v>2.4020000000000001</v>
      </c>
      <c r="K18" s="6">
        <v>2.7210000000000001</v>
      </c>
      <c r="N18" s="6">
        <v>1.8049999999999999</v>
      </c>
      <c r="O18" s="6">
        <v>2.1110000000000002</v>
      </c>
      <c r="P18" s="6">
        <v>2.5270000000000001</v>
      </c>
      <c r="Q18" s="6">
        <v>2.758</v>
      </c>
      <c r="R18" s="6">
        <v>-3.919</v>
      </c>
      <c r="S18" s="6">
        <v>0.432</v>
      </c>
    </row>
    <row r="19" spans="2:19" s="3" customFormat="1" x14ac:dyDescent="0.2">
      <c r="B19" s="3" t="s">
        <v>45</v>
      </c>
      <c r="D19" s="33"/>
      <c r="F19" s="33"/>
      <c r="H19" s="33"/>
      <c r="I19" s="29">
        <f>I17-I18</f>
        <v>-8.7989999999999995</v>
      </c>
      <c r="J19" s="45">
        <f>J17-J18</f>
        <v>12.803999999999998</v>
      </c>
      <c r="K19" s="29">
        <f>K17-K18</f>
        <v>18.294</v>
      </c>
      <c r="N19" s="29">
        <f t="shared" ref="N19:R19" si="6">N17-N18</f>
        <v>3.6310000000000073</v>
      </c>
      <c r="O19" s="29">
        <f t="shared" si="6"/>
        <v>5.1810000000000045</v>
      </c>
      <c r="P19" s="29">
        <f t="shared" si="6"/>
        <v>8.1420000000000101</v>
      </c>
      <c r="Q19" s="29">
        <f t="shared" si="6"/>
        <v>9.036999999999999</v>
      </c>
      <c r="R19" s="29">
        <f t="shared" si="6"/>
        <v>-17.747</v>
      </c>
      <c r="S19" s="29">
        <f>S17-S18</f>
        <v>4.005000000000007</v>
      </c>
    </row>
    <row r="20" spans="2:19" s="26" customFormat="1" x14ac:dyDescent="0.2">
      <c r="B20" s="26" t="s">
        <v>46</v>
      </c>
      <c r="D20" s="35"/>
      <c r="F20" s="35"/>
      <c r="H20" s="35"/>
      <c r="I20" s="6">
        <f>I19/I21</f>
        <v>-0.12873671520202257</v>
      </c>
      <c r="J20" s="35">
        <f>J19/J21</f>
        <v>0.1873072809736924</v>
      </c>
      <c r="K20" s="26">
        <f>K19/K21</f>
        <v>0.26752851385409882</v>
      </c>
      <c r="N20" s="26">
        <f t="shared" ref="N20:Q20" si="7">N19/N21</f>
        <v>5.5861538461538573E-2</v>
      </c>
      <c r="O20" s="26">
        <f t="shared" si="7"/>
        <v>7.9707692307692382E-2</v>
      </c>
      <c r="P20" s="26">
        <f t="shared" si="7"/>
        <v>0.12526153846153862</v>
      </c>
      <c r="Q20" s="26">
        <f t="shared" si="7"/>
        <v>0.13903076923076921</v>
      </c>
      <c r="R20" s="26">
        <f>R19/R21</f>
        <v>-0.26262619027880874</v>
      </c>
      <c r="S20" s="26">
        <f>S19/S21</f>
        <v>5.8588383341115234E-2</v>
      </c>
    </row>
    <row r="21" spans="2:19" s="27" customFormat="1" x14ac:dyDescent="0.2">
      <c r="B21" s="27" t="s">
        <v>4</v>
      </c>
      <c r="D21" s="36"/>
      <c r="F21" s="36"/>
      <c r="H21" s="36"/>
      <c r="I21" s="6">
        <v>68.348799999999997</v>
      </c>
      <c r="J21" s="36">
        <f>S21</f>
        <v>68.358260999999999</v>
      </c>
      <c r="K21" s="27">
        <v>68.381495999999999</v>
      </c>
      <c r="N21" s="27">
        <v>65</v>
      </c>
      <c r="O21" s="27">
        <v>65</v>
      </c>
      <c r="P21" s="27">
        <v>65</v>
      </c>
      <c r="Q21" s="27">
        <v>65</v>
      </c>
      <c r="R21" s="27">
        <v>67.575134000000006</v>
      </c>
      <c r="S21" s="27">
        <v>68.358260999999999</v>
      </c>
    </row>
    <row r="23" spans="2:19" s="3" customFormat="1" x14ac:dyDescent="0.2">
      <c r="B23" s="3" t="s">
        <v>48</v>
      </c>
      <c r="D23" s="33"/>
      <c r="F23" s="33"/>
      <c r="H23" s="33"/>
      <c r="J23" s="33"/>
      <c r="K23" s="23">
        <f>K8/I8-1</f>
        <v>4.9602262016965133</v>
      </c>
      <c r="O23" s="23">
        <f t="shared" ref="O23:R23" si="8">O8/N8-1</f>
        <v>5.5274142515486124E-2</v>
      </c>
      <c r="P23" s="23">
        <f t="shared" si="8"/>
        <v>7.4746621621621712E-2</v>
      </c>
      <c r="Q23" s="23">
        <f t="shared" si="8"/>
        <v>0.10179436804191222</v>
      </c>
      <c r="R23" s="23">
        <f t="shared" si="8"/>
        <v>-0.56885238106559521</v>
      </c>
      <c r="S23" s="23">
        <f>S8/R8-1</f>
        <v>0.86167250268824636</v>
      </c>
    </row>
    <row r="24" spans="2:19" s="25" customFormat="1" x14ac:dyDescent="0.2">
      <c r="B24" s="25" t="s">
        <v>49</v>
      </c>
      <c r="D24" s="48"/>
      <c r="F24" s="48"/>
      <c r="H24" s="48"/>
      <c r="J24" s="48">
        <f>J8/I8-1</f>
        <v>4.3639019792648446</v>
      </c>
      <c r="K24" s="25">
        <f>K8/J8-1</f>
        <v>0.11117358682855683</v>
      </c>
      <c r="N24" s="49" t="s">
        <v>118</v>
      </c>
      <c r="O24" s="49" t="s">
        <v>118</v>
      </c>
      <c r="P24" s="49" t="s">
        <v>118</v>
      </c>
      <c r="Q24" s="49" t="s">
        <v>118</v>
      </c>
      <c r="R24" s="49" t="s">
        <v>118</v>
      </c>
      <c r="S24" s="49" t="s">
        <v>118</v>
      </c>
    </row>
    <row r="26" spans="2:19" x14ac:dyDescent="0.2">
      <c r="B26" s="1" t="s">
        <v>50</v>
      </c>
      <c r="I26" s="25">
        <f>I10/I8</f>
        <v>0.60848256361922715</v>
      </c>
      <c r="J26" s="48">
        <f>J10/J8</f>
        <v>0.67744372792606</v>
      </c>
      <c r="K26" s="25">
        <f>K10/K8</f>
        <v>0.68836775356589386</v>
      </c>
      <c r="N26" s="25">
        <f t="shared" ref="N26:P26" si="9">N10/N8</f>
        <v>0.69341493486237171</v>
      </c>
      <c r="O26" s="25">
        <f t="shared" si="9"/>
        <v>0.69766328828828827</v>
      </c>
      <c r="P26" s="25">
        <f t="shared" ref="P26:Q26" si="10">P10/P8</f>
        <v>0.70631303208906349</v>
      </c>
      <c r="Q26" s="25">
        <f t="shared" si="10"/>
        <v>0.70364470649770572</v>
      </c>
      <c r="R26" s="25">
        <f t="shared" ref="R26" si="11">R10/R8</f>
        <v>0.61137610631668915</v>
      </c>
      <c r="S26" s="25">
        <f>S10/S8</f>
        <v>0.66660742583788757</v>
      </c>
    </row>
    <row r="27" spans="2:19" x14ac:dyDescent="0.2">
      <c r="B27" s="1" t="s">
        <v>51</v>
      </c>
      <c r="I27" s="25">
        <f>I15/I8</f>
        <v>-0.7637134778510839</v>
      </c>
      <c r="J27" s="48">
        <f>J15/J8</f>
        <v>0.32552582101878369</v>
      </c>
      <c r="K27" s="25">
        <f>K15/K8</f>
        <v>0.38816850627787092</v>
      </c>
      <c r="N27" s="25">
        <f t="shared" ref="N27:P27" si="12">N15/N8</f>
        <v>0.14492193882856261</v>
      </c>
      <c r="O27" s="25">
        <f t="shared" si="12"/>
        <v>0.13966779279279284</v>
      </c>
      <c r="P27" s="25">
        <f t="shared" ref="P27:Q27" si="13">P15/P8</f>
        <v>0.14881466928618214</v>
      </c>
      <c r="Q27" s="25">
        <f t="shared" si="13"/>
        <v>0.14958037136539787</v>
      </c>
      <c r="R27" s="25">
        <f t="shared" ref="R27" si="14">R15/R8</f>
        <v>-0.43703989633019935</v>
      </c>
      <c r="S27" s="25">
        <f>S15/S8</f>
        <v>0.1543667895913865</v>
      </c>
    </row>
    <row r="28" spans="2:19" x14ac:dyDescent="0.2">
      <c r="B28" s="1" t="s">
        <v>52</v>
      </c>
      <c r="I28" s="25">
        <f>I19/I8</f>
        <v>-0.82931196983977384</v>
      </c>
      <c r="J28" s="48">
        <f>J19/J8</f>
        <v>0.22498286798685663</v>
      </c>
      <c r="K28" s="25">
        <f>K19/K8</f>
        <v>0.2892880862772384</v>
      </c>
      <c r="N28" s="25">
        <f t="shared" ref="N28:P28" si="15">N19/N8</f>
        <v>5.3937224260610039E-2</v>
      </c>
      <c r="O28" s="25">
        <f t="shared" si="15"/>
        <v>7.2930743243243307E-2</v>
      </c>
      <c r="P28" s="25">
        <f t="shared" ref="P28:Q28" si="16">P19/P8</f>
        <v>0.10664047151277026</v>
      </c>
      <c r="Q28" s="25">
        <f t="shared" si="16"/>
        <v>0.1074273079574903</v>
      </c>
      <c r="R28" s="25">
        <f t="shared" ref="R28" si="17">R19/R8</f>
        <v>-0.48931594474620199</v>
      </c>
      <c r="S28" s="25">
        <f>S19/S8</f>
        <v>5.9314879815168718E-2</v>
      </c>
    </row>
    <row r="29" spans="2:19" x14ac:dyDescent="0.2">
      <c r="B29" s="1" t="s">
        <v>53</v>
      </c>
      <c r="I29" s="25">
        <f>I28/I18/I17</f>
        <v>-3.9090959519535243E-2</v>
      </c>
      <c r="J29" s="48">
        <f>J28/J18/J17</f>
        <v>6.1597269271873771E-3</v>
      </c>
      <c r="K29" s="25">
        <f>K28/K18/K17</f>
        <v>5.0590924103622523E-3</v>
      </c>
      <c r="N29" s="25">
        <f t="shared" ref="N29:O29" si="18">N28/N18/N17</f>
        <v>5.497078495941693E-3</v>
      </c>
      <c r="O29" s="25">
        <f t="shared" si="18"/>
        <v>4.7377893376233451E-3</v>
      </c>
      <c r="P29" s="25">
        <f>P28/P18/P17</f>
        <v>3.9554245032928335E-3</v>
      </c>
      <c r="Q29" s="25">
        <f>Q28/Q18/Q17</f>
        <v>3.3023453282151893E-3</v>
      </c>
      <c r="R29" s="25">
        <f>R28/R18/R17</f>
        <v>-5.7628241241057991E-3</v>
      </c>
      <c r="S29" s="25">
        <f>S28/S18/S17</f>
        <v>3.0944999444469812E-2</v>
      </c>
    </row>
    <row r="33" spans="2:20" s="3" customFormat="1" x14ac:dyDescent="0.2">
      <c r="B33" s="24" t="s">
        <v>54</v>
      </c>
      <c r="D33" s="33"/>
      <c r="F33" s="33"/>
      <c r="H33" s="33"/>
      <c r="J33" s="33"/>
    </row>
    <row r="34" spans="2:20" x14ac:dyDescent="0.2">
      <c r="B34" s="1" t="s">
        <v>119</v>
      </c>
      <c r="E34" s="1">
        <v>44</v>
      </c>
      <c r="G34" s="1">
        <v>45</v>
      </c>
      <c r="I34" s="1">
        <v>46</v>
      </c>
      <c r="J34" s="34">
        <f>S34</f>
        <v>46</v>
      </c>
      <c r="K34" s="1">
        <v>47</v>
      </c>
      <c r="N34" s="1">
        <v>38</v>
      </c>
      <c r="O34" s="1">
        <v>40</v>
      </c>
      <c r="P34" s="1">
        <v>43</v>
      </c>
      <c r="Q34" s="1">
        <v>45</v>
      </c>
      <c r="R34" s="1">
        <v>46</v>
      </c>
      <c r="S34" s="1">
        <v>46</v>
      </c>
      <c r="T34" s="1">
        <v>48</v>
      </c>
    </row>
    <row r="35" spans="2:20" s="51" customFormat="1" x14ac:dyDescent="0.2">
      <c r="B35" s="50" t="s">
        <v>120</v>
      </c>
      <c r="D35" s="52"/>
      <c r="F35" s="52"/>
      <c r="H35" s="52"/>
      <c r="J35" s="52">
        <f t="shared" ref="J35:J36" si="19">S35</f>
        <v>1275</v>
      </c>
      <c r="N35" s="51">
        <v>812</v>
      </c>
      <c r="O35" s="51">
        <v>953</v>
      </c>
      <c r="P35" s="51">
        <v>899</v>
      </c>
      <c r="Q35" s="51">
        <v>978</v>
      </c>
      <c r="R35" s="51">
        <v>931</v>
      </c>
      <c r="S35" s="51">
        <v>1275</v>
      </c>
    </row>
    <row r="36" spans="2:20" s="51" customFormat="1" x14ac:dyDescent="0.2">
      <c r="B36" s="50" t="s">
        <v>121</v>
      </c>
      <c r="D36" s="52"/>
      <c r="F36" s="52"/>
      <c r="H36" s="52"/>
      <c r="J36" s="52">
        <f t="shared" si="19"/>
        <v>58</v>
      </c>
      <c r="N36" s="51">
        <v>38</v>
      </c>
      <c r="O36" s="51">
        <v>47</v>
      </c>
      <c r="P36" s="51">
        <v>56</v>
      </c>
      <c r="Q36" s="51">
        <v>56</v>
      </c>
      <c r="R36" s="51">
        <v>45</v>
      </c>
      <c r="S36" s="51">
        <v>58</v>
      </c>
    </row>
    <row r="37" spans="2:20" s="51" customFormat="1" x14ac:dyDescent="0.2">
      <c r="B37" s="50" t="s">
        <v>122</v>
      </c>
      <c r="D37" s="52"/>
      <c r="F37" s="52"/>
      <c r="H37" s="52"/>
      <c r="J37" s="52">
        <f>S37</f>
        <v>157</v>
      </c>
      <c r="N37" s="51">
        <v>210</v>
      </c>
      <c r="O37" s="51">
        <v>134</v>
      </c>
      <c r="P37" s="51">
        <v>127</v>
      </c>
      <c r="Q37" s="51">
        <v>153</v>
      </c>
      <c r="R37" s="51">
        <v>150</v>
      </c>
      <c r="S37" s="51">
        <v>157</v>
      </c>
    </row>
    <row r="38" spans="2:20" s="53" customFormat="1" x14ac:dyDescent="0.2">
      <c r="B38" s="53" t="s">
        <v>117</v>
      </c>
      <c r="D38" s="54"/>
      <c r="F38" s="54"/>
      <c r="H38" s="54"/>
      <c r="J38" s="54">
        <f>S38</f>
        <v>1490</v>
      </c>
      <c r="K38" s="53">
        <v>1500</v>
      </c>
      <c r="N38" s="53">
        <f t="shared" ref="N38:Q38" si="20">SUM(N35:N37)</f>
        <v>1060</v>
      </c>
      <c r="O38" s="53">
        <f t="shared" si="20"/>
        <v>1134</v>
      </c>
      <c r="P38" s="53">
        <f t="shared" si="20"/>
        <v>1082</v>
      </c>
      <c r="Q38" s="53">
        <f t="shared" si="20"/>
        <v>1187</v>
      </c>
      <c r="R38" s="53">
        <f>SUM(R35:R37)</f>
        <v>1126</v>
      </c>
      <c r="S38" s="53">
        <f>SUM(S35:S37)</f>
        <v>1490</v>
      </c>
    </row>
    <row r="41" spans="2:20" x14ac:dyDescent="0.2">
      <c r="B41" s="24" t="s">
        <v>75</v>
      </c>
    </row>
    <row r="42" spans="2:20" x14ac:dyDescent="0.2">
      <c r="B42" s="1" t="s">
        <v>76</v>
      </c>
      <c r="I42" s="6">
        <f>29.35+0.355</f>
        <v>29.705000000000002</v>
      </c>
      <c r="K42" s="6">
        <f>29.74+0.195</f>
        <v>29.934999999999999</v>
      </c>
      <c r="N42" s="6">
        <f>23.552+2.19</f>
        <v>25.742000000000001</v>
      </c>
      <c r="O42" s="27">
        <f>25.171+1.49</f>
        <v>26.660999999999998</v>
      </c>
      <c r="R42" s="6">
        <f>29.35+0.279</f>
        <v>29.629000000000001</v>
      </c>
      <c r="S42" s="6">
        <f>29.35+0.279</f>
        <v>29.629000000000001</v>
      </c>
    </row>
    <row r="43" spans="2:20" x14ac:dyDescent="0.2">
      <c r="B43" s="1" t="s">
        <v>77</v>
      </c>
      <c r="I43" s="6">
        <v>0.31</v>
      </c>
      <c r="K43" s="6">
        <v>0</v>
      </c>
      <c r="N43" s="6">
        <v>0</v>
      </c>
      <c r="O43" s="27">
        <v>0</v>
      </c>
      <c r="R43" s="6">
        <v>0.31</v>
      </c>
      <c r="S43" s="6">
        <v>0.31</v>
      </c>
    </row>
    <row r="44" spans="2:20" x14ac:dyDescent="0.2">
      <c r="B44" s="1" t="s">
        <v>78</v>
      </c>
      <c r="I44" s="6">
        <v>38.566000000000003</v>
      </c>
      <c r="K44" s="6">
        <v>42.151000000000003</v>
      </c>
      <c r="N44" s="6">
        <v>34.72</v>
      </c>
      <c r="O44" s="27">
        <v>34.890999999999998</v>
      </c>
      <c r="R44" s="6">
        <v>41.453000000000003</v>
      </c>
      <c r="S44" s="6">
        <v>39.53</v>
      </c>
    </row>
    <row r="45" spans="2:20" x14ac:dyDescent="0.2">
      <c r="B45" s="1" t="s">
        <v>79</v>
      </c>
      <c r="I45" s="6">
        <v>156.559</v>
      </c>
      <c r="K45" s="6">
        <v>173.00899999999999</v>
      </c>
      <c r="N45" s="6">
        <v>0</v>
      </c>
      <c r="O45" s="27">
        <v>0</v>
      </c>
      <c r="R45" s="6">
        <v>157.14500000000001</v>
      </c>
      <c r="S45" s="6">
        <v>167.32400000000001</v>
      </c>
    </row>
    <row r="46" spans="2:20" x14ac:dyDescent="0.2">
      <c r="B46" s="1" t="s">
        <v>80</v>
      </c>
      <c r="I46" s="6">
        <v>6.0880000000000001</v>
      </c>
      <c r="K46" s="6">
        <v>4.2320000000000002</v>
      </c>
      <c r="N46" s="6">
        <v>0</v>
      </c>
      <c r="O46" s="27">
        <v>0</v>
      </c>
      <c r="R46" s="6">
        <v>4.1180000000000003</v>
      </c>
      <c r="S46" s="6">
        <v>4.3739999999999997</v>
      </c>
    </row>
    <row r="47" spans="2:20" x14ac:dyDescent="0.2">
      <c r="B47" s="1" t="s">
        <v>81</v>
      </c>
      <c r="C47" s="1">
        <f t="shared" ref="C47:J47" si="21">SUM(C42:C46)</f>
        <v>0</v>
      </c>
      <c r="D47" s="34">
        <f t="shared" si="21"/>
        <v>0</v>
      </c>
      <c r="E47" s="1">
        <f t="shared" si="21"/>
        <v>0</v>
      </c>
      <c r="F47" s="34">
        <f t="shared" si="21"/>
        <v>0</v>
      </c>
      <c r="G47" s="1">
        <f t="shared" si="21"/>
        <v>0</v>
      </c>
      <c r="H47" s="34">
        <f t="shared" si="21"/>
        <v>0</v>
      </c>
      <c r="I47" s="6">
        <f t="shared" si="21"/>
        <v>231.22799999999998</v>
      </c>
      <c r="J47" s="34">
        <f t="shared" si="21"/>
        <v>0</v>
      </c>
      <c r="K47" s="6">
        <f>SUM(K42:K46)</f>
        <v>249.32699999999997</v>
      </c>
      <c r="N47" s="6">
        <f t="shared" ref="N47:R47" si="22">SUM(N42:N46)</f>
        <v>60.462000000000003</v>
      </c>
      <c r="O47" s="27">
        <f t="shared" si="22"/>
        <v>61.551999999999992</v>
      </c>
      <c r="P47" s="6">
        <f t="shared" si="22"/>
        <v>0</v>
      </c>
      <c r="Q47" s="6">
        <f t="shared" si="22"/>
        <v>0</v>
      </c>
      <c r="R47" s="6">
        <f t="shared" si="22"/>
        <v>232.655</v>
      </c>
      <c r="S47" s="6">
        <f>SUM(S42:S46)</f>
        <v>241.167</v>
      </c>
    </row>
    <row r="48" spans="2:20" s="3" customFormat="1" x14ac:dyDescent="0.2">
      <c r="B48" s="3" t="s">
        <v>82</v>
      </c>
      <c r="D48" s="33"/>
      <c r="F48" s="33"/>
      <c r="H48" s="33"/>
      <c r="I48" s="29">
        <v>1.05</v>
      </c>
      <c r="J48" s="33"/>
      <c r="K48" s="29">
        <v>1.25</v>
      </c>
      <c r="N48" s="29">
        <v>1.339</v>
      </c>
      <c r="O48" s="72">
        <v>1.3560000000000001</v>
      </c>
      <c r="R48" s="29">
        <v>0.50800000000000001</v>
      </c>
      <c r="S48" s="29">
        <v>1.226</v>
      </c>
    </row>
    <row r="49" spans="2:19" x14ac:dyDescent="0.2">
      <c r="B49" s="1" t="s">
        <v>83</v>
      </c>
      <c r="I49" s="6">
        <v>1.194</v>
      </c>
      <c r="K49" s="6">
        <v>14.776999999999999</v>
      </c>
      <c r="N49" s="6">
        <v>3.3460000000000001</v>
      </c>
      <c r="O49" s="27">
        <v>3.5209999999999999</v>
      </c>
      <c r="R49" s="6">
        <v>1.6719999999999999</v>
      </c>
      <c r="S49" s="6">
        <v>5.4260000000000002</v>
      </c>
    </row>
    <row r="50" spans="2:19" s="3" customFormat="1" x14ac:dyDescent="0.2">
      <c r="B50" s="3" t="s">
        <v>6</v>
      </c>
      <c r="D50" s="33"/>
      <c r="F50" s="33"/>
      <c r="H50" s="33"/>
      <c r="I50" s="29">
        <v>17.103000000000002</v>
      </c>
      <c r="J50" s="33"/>
      <c r="K50" s="29">
        <v>7.734</v>
      </c>
      <c r="N50" s="29">
        <v>10.185</v>
      </c>
      <c r="O50" s="72">
        <v>5.5709999999999997</v>
      </c>
      <c r="R50" s="29">
        <v>2.302</v>
      </c>
      <c r="S50" s="29">
        <v>11.510999999999999</v>
      </c>
    </row>
    <row r="51" spans="2:19" x14ac:dyDescent="0.2">
      <c r="B51" s="1" t="s">
        <v>84</v>
      </c>
      <c r="I51" s="6">
        <v>0.01</v>
      </c>
      <c r="K51" s="6">
        <v>0.314</v>
      </c>
      <c r="N51" s="6">
        <v>0</v>
      </c>
      <c r="O51" s="27">
        <v>0</v>
      </c>
      <c r="R51" s="6">
        <v>7.3940000000000001</v>
      </c>
      <c r="S51" s="6">
        <v>0.01</v>
      </c>
    </row>
    <row r="52" spans="2:19" x14ac:dyDescent="0.2">
      <c r="B52" s="1" t="s">
        <v>85</v>
      </c>
      <c r="C52" s="1">
        <f t="shared" ref="C52:J52" si="23">C47+SUM(C48:C51)</f>
        <v>0</v>
      </c>
      <c r="D52" s="34">
        <f t="shared" si="23"/>
        <v>0</v>
      </c>
      <c r="E52" s="1">
        <f t="shared" si="23"/>
        <v>0</v>
      </c>
      <c r="F52" s="34">
        <f t="shared" si="23"/>
        <v>0</v>
      </c>
      <c r="G52" s="1">
        <f t="shared" si="23"/>
        <v>0</v>
      </c>
      <c r="H52" s="34">
        <f t="shared" si="23"/>
        <v>0</v>
      </c>
      <c r="I52" s="6">
        <f t="shared" si="23"/>
        <v>250.58499999999998</v>
      </c>
      <c r="J52" s="34">
        <f t="shared" si="23"/>
        <v>0</v>
      </c>
      <c r="K52" s="6">
        <f>K47+SUM(K48:K51)</f>
        <v>273.40199999999999</v>
      </c>
      <c r="N52" s="6">
        <f t="shared" ref="N52:S52" si="24">N47+SUM(N48:N51)</f>
        <v>75.332000000000008</v>
      </c>
      <c r="O52" s="27">
        <f t="shared" si="24"/>
        <v>72</v>
      </c>
      <c r="P52" s="6">
        <f t="shared" si="24"/>
        <v>0</v>
      </c>
      <c r="Q52" s="6">
        <f t="shared" si="24"/>
        <v>0</v>
      </c>
      <c r="R52" s="6">
        <f t="shared" si="24"/>
        <v>244.53100000000001</v>
      </c>
      <c r="S52" s="6">
        <f t="shared" si="24"/>
        <v>259.34000000000003</v>
      </c>
    </row>
    <row r="53" spans="2:19" x14ac:dyDescent="0.2">
      <c r="I53" s="6"/>
      <c r="K53" s="6"/>
      <c r="R53" s="6"/>
      <c r="S53" s="6"/>
    </row>
    <row r="54" spans="2:19" s="3" customFormat="1" x14ac:dyDescent="0.2">
      <c r="B54" s="3" t="s">
        <v>109</v>
      </c>
      <c r="D54" s="33"/>
      <c r="F54" s="33"/>
      <c r="H54" s="33"/>
      <c r="I54" s="29">
        <v>43.871000000000002</v>
      </c>
      <c r="J54" s="33"/>
      <c r="K54" s="29">
        <v>17.963999999999999</v>
      </c>
      <c r="N54" s="29">
        <v>4.1109999999999998</v>
      </c>
      <c r="O54" s="29">
        <v>7.8460000000000001</v>
      </c>
      <c r="R54" s="29">
        <v>34.030999999999999</v>
      </c>
      <c r="S54" s="29">
        <v>16.661000000000001</v>
      </c>
    </row>
    <row r="55" spans="2:19" x14ac:dyDescent="0.2">
      <c r="B55" s="1" t="s">
        <v>86</v>
      </c>
      <c r="I55" s="6">
        <v>12.833</v>
      </c>
      <c r="K55" s="6">
        <v>10.568</v>
      </c>
      <c r="N55" s="6">
        <v>7.093</v>
      </c>
      <c r="O55" s="6">
        <v>5.5019999999999998</v>
      </c>
      <c r="R55" s="6">
        <v>8.282</v>
      </c>
      <c r="S55" s="6">
        <v>13.513</v>
      </c>
    </row>
    <row r="56" spans="2:19" x14ac:dyDescent="0.2">
      <c r="B56" s="1" t="s">
        <v>134</v>
      </c>
      <c r="G56" s="1">
        <v>0</v>
      </c>
      <c r="H56" s="34">
        <v>0</v>
      </c>
      <c r="I56" s="1">
        <v>0</v>
      </c>
      <c r="J56" s="34">
        <v>0</v>
      </c>
      <c r="K56" s="1">
        <v>0</v>
      </c>
      <c r="N56" s="6">
        <v>0.66900000000000004</v>
      </c>
      <c r="O56" s="6">
        <v>0.82499999999999996</v>
      </c>
      <c r="R56" s="6"/>
      <c r="S56" s="6"/>
    </row>
    <row r="57" spans="2:19" x14ac:dyDescent="0.2">
      <c r="B57" s="1" t="s">
        <v>135</v>
      </c>
      <c r="G57" s="1">
        <v>0</v>
      </c>
      <c r="H57" s="34">
        <v>0</v>
      </c>
      <c r="I57" s="1">
        <v>0</v>
      </c>
      <c r="J57" s="34">
        <v>0</v>
      </c>
      <c r="K57" s="1">
        <v>0</v>
      </c>
      <c r="N57" s="6">
        <v>0.29299999999999998</v>
      </c>
      <c r="O57" s="6">
        <v>7.0000000000000007E-2</v>
      </c>
      <c r="R57" s="6"/>
      <c r="S57" s="6"/>
    </row>
    <row r="58" spans="2:19" x14ac:dyDescent="0.2">
      <c r="B58" s="1" t="s">
        <v>87</v>
      </c>
      <c r="C58" s="6">
        <f>SUM(C54:C57)</f>
        <v>0</v>
      </c>
      <c r="D58" s="34">
        <f>SUM(D54:D57)</f>
        <v>0</v>
      </c>
      <c r="E58" s="6">
        <f>SUM(E54:E57)</f>
        <v>0</v>
      </c>
      <c r="F58" s="34">
        <f>SUM(F54:F57)</f>
        <v>0</v>
      </c>
      <c r="G58" s="6">
        <f>SUM(G54:G57)</f>
        <v>0</v>
      </c>
      <c r="H58" s="34">
        <f>SUM(H54:H57)</f>
        <v>0</v>
      </c>
      <c r="I58" s="6">
        <f>SUM(I54:I57)</f>
        <v>56.704000000000001</v>
      </c>
      <c r="J58" s="34">
        <f>SUM(J54:J57)</f>
        <v>0</v>
      </c>
      <c r="K58" s="6">
        <f>SUM(K54:K57)</f>
        <v>28.531999999999996</v>
      </c>
      <c r="N58" s="6">
        <f t="shared" ref="N58" si="25">SUM(N54:N57)</f>
        <v>12.166</v>
      </c>
      <c r="O58" s="6">
        <f>SUM(O54:O57)</f>
        <v>14.242999999999999</v>
      </c>
      <c r="P58" s="6">
        <f t="shared" ref="P58:S58" si="26">SUM(P54:P57)</f>
        <v>0</v>
      </c>
      <c r="Q58" s="6">
        <f t="shared" si="26"/>
        <v>0</v>
      </c>
      <c r="R58" s="6">
        <f t="shared" si="26"/>
        <v>42.313000000000002</v>
      </c>
      <c r="S58" s="6">
        <f t="shared" si="26"/>
        <v>30.173999999999999</v>
      </c>
    </row>
    <row r="59" spans="2:19" s="3" customFormat="1" x14ac:dyDescent="0.2">
      <c r="B59" s="3" t="s">
        <v>109</v>
      </c>
      <c r="D59" s="33"/>
      <c r="F59" s="33"/>
      <c r="H59" s="33"/>
      <c r="I59" s="29">
        <v>171.18199999999999</v>
      </c>
      <c r="J59" s="33"/>
      <c r="K59" s="29">
        <v>189.98699999999999</v>
      </c>
      <c r="N59" s="29">
        <v>13.157999999999999</v>
      </c>
      <c r="O59" s="29">
        <v>2.2440000000000002</v>
      </c>
      <c r="R59" s="29">
        <v>171.024</v>
      </c>
      <c r="S59" s="29">
        <v>192.833</v>
      </c>
    </row>
    <row r="60" spans="2:19" x14ac:dyDescent="0.2">
      <c r="B60" s="1" t="s">
        <v>80</v>
      </c>
      <c r="I60" s="6">
        <v>1.5820000000000001</v>
      </c>
      <c r="K60" s="6">
        <v>2.274</v>
      </c>
      <c r="N60" s="6">
        <v>1.5109999999999999</v>
      </c>
      <c r="O60" s="6">
        <v>1.726</v>
      </c>
      <c r="R60" s="6">
        <v>1.5820000000000001</v>
      </c>
      <c r="S60" s="6">
        <v>2.27</v>
      </c>
    </row>
    <row r="61" spans="2:19" x14ac:dyDescent="0.2">
      <c r="B61" s="1" t="s">
        <v>137</v>
      </c>
      <c r="I61" s="1">
        <v>0</v>
      </c>
      <c r="J61" s="34">
        <v>0</v>
      </c>
      <c r="K61" s="1">
        <v>0</v>
      </c>
      <c r="N61" s="6">
        <v>42.435000000000002</v>
      </c>
      <c r="O61" s="6">
        <v>0</v>
      </c>
      <c r="P61" s="1">
        <v>0</v>
      </c>
      <c r="Q61" s="1">
        <v>0</v>
      </c>
      <c r="R61" s="1">
        <v>0</v>
      </c>
      <c r="S61" s="1">
        <v>0</v>
      </c>
    </row>
    <row r="62" spans="2:19" x14ac:dyDescent="0.2">
      <c r="B62" s="1" t="s">
        <v>136</v>
      </c>
      <c r="I62" s="1">
        <v>0</v>
      </c>
      <c r="J62" s="34">
        <v>0</v>
      </c>
      <c r="K62" s="1">
        <v>0</v>
      </c>
      <c r="N62" s="6">
        <f>0.442+1.577</f>
        <v>2.0190000000000001</v>
      </c>
      <c r="O62" s="6">
        <f>0.361+0.233</f>
        <v>0.59399999999999997</v>
      </c>
      <c r="P62" s="1">
        <v>0</v>
      </c>
      <c r="Q62" s="1">
        <v>0</v>
      </c>
      <c r="R62" s="1">
        <v>0</v>
      </c>
      <c r="S62" s="1">
        <v>0</v>
      </c>
    </row>
    <row r="63" spans="2:19" x14ac:dyDescent="0.2">
      <c r="B63" s="1" t="s">
        <v>88</v>
      </c>
      <c r="C63" s="6">
        <f>SUM(C58:C62)</f>
        <v>0</v>
      </c>
      <c r="D63" s="34">
        <f>SUM(D58:D62)</f>
        <v>0</v>
      </c>
      <c r="E63" s="6">
        <f>SUM(E58:E62)</f>
        <v>0</v>
      </c>
      <c r="F63" s="34">
        <f>SUM(F58:F62)</f>
        <v>0</v>
      </c>
      <c r="G63" s="6">
        <f>SUM(G58:G62)</f>
        <v>0</v>
      </c>
      <c r="H63" s="34">
        <f>SUM(H58:H62)</f>
        <v>0</v>
      </c>
      <c r="I63" s="6">
        <f>SUM(I58:I62)</f>
        <v>229.46799999999999</v>
      </c>
      <c r="J63" s="34" t="s">
        <v>138</v>
      </c>
      <c r="K63" s="6">
        <f>SUM(K58:K62)</f>
        <v>220.79300000000001</v>
      </c>
      <c r="N63" s="6">
        <f t="shared" ref="N63:S63" si="27">SUM(N58:N62)</f>
        <v>71.289000000000001</v>
      </c>
      <c r="O63" s="6">
        <f t="shared" si="27"/>
        <v>18.806999999999999</v>
      </c>
      <c r="P63" s="6">
        <f t="shared" si="27"/>
        <v>0</v>
      </c>
      <c r="Q63" s="6">
        <f t="shared" si="27"/>
        <v>0</v>
      </c>
      <c r="R63" s="6">
        <f t="shared" si="27"/>
        <v>214.91899999999998</v>
      </c>
      <c r="S63" s="6">
        <f t="shared" si="27"/>
        <v>225.27700000000002</v>
      </c>
    </row>
    <row r="64" spans="2:19" x14ac:dyDescent="0.2">
      <c r="I64" s="6"/>
      <c r="K64" s="6"/>
      <c r="N64" s="6"/>
      <c r="S64" s="6"/>
    </row>
    <row r="65" spans="2:19" x14ac:dyDescent="0.2">
      <c r="B65" s="1" t="s">
        <v>89</v>
      </c>
      <c r="I65" s="6">
        <v>21.117000000000001</v>
      </c>
      <c r="K65" s="6">
        <v>52.609000000000002</v>
      </c>
      <c r="N65" s="6">
        <v>4.0430000000000001</v>
      </c>
      <c r="O65" s="6">
        <v>53.192999999999998</v>
      </c>
      <c r="R65" s="6">
        <v>29.809000000000001</v>
      </c>
      <c r="S65" s="6">
        <v>34.063000000000002</v>
      </c>
    </row>
    <row r="66" spans="2:19" x14ac:dyDescent="0.2">
      <c r="B66" s="1" t="s">
        <v>90</v>
      </c>
      <c r="I66" s="6">
        <f>I65+I63</f>
        <v>250.58499999999998</v>
      </c>
      <c r="K66" s="6">
        <f>K65+K63</f>
        <v>273.40199999999999</v>
      </c>
      <c r="N66" s="6">
        <f>N65+N63</f>
        <v>75.332000000000008</v>
      </c>
      <c r="O66" s="6">
        <f>O65+O63</f>
        <v>72</v>
      </c>
      <c r="R66" s="6">
        <f>R65+R63</f>
        <v>244.72799999999998</v>
      </c>
      <c r="S66" s="6">
        <f>S65+S63</f>
        <v>259.34000000000003</v>
      </c>
    </row>
    <row r="68" spans="2:19" x14ac:dyDescent="0.2">
      <c r="B68" s="1" t="s">
        <v>91</v>
      </c>
      <c r="I68" s="6">
        <f>I52-I63</f>
        <v>21.11699999999999</v>
      </c>
      <c r="K68" s="6">
        <f>K52-K63</f>
        <v>52.60899999999998</v>
      </c>
      <c r="N68" s="6">
        <f t="shared" ref="N68:O68" si="28">N52-N63</f>
        <v>4.0430000000000064</v>
      </c>
      <c r="O68" s="6">
        <f t="shared" si="28"/>
        <v>53.192999999999998</v>
      </c>
      <c r="R68" s="6">
        <f t="shared" ref="R68" si="29">R52-R63</f>
        <v>29.612000000000023</v>
      </c>
      <c r="S68" s="6">
        <f>S52-S63</f>
        <v>34.063000000000017</v>
      </c>
    </row>
    <row r="69" spans="2:19" x14ac:dyDescent="0.2">
      <c r="B69" s="1" t="s">
        <v>92</v>
      </c>
      <c r="I69" s="1">
        <f>I68/I21</f>
        <v>0.30895933798398789</v>
      </c>
      <c r="K69" s="1">
        <f>K68/K21</f>
        <v>0.7693455551191799</v>
      </c>
      <c r="N69" s="1">
        <f t="shared" ref="N69:O69" si="30">N68/N21</f>
        <v>6.2200000000000095E-2</v>
      </c>
      <c r="O69" s="1">
        <f t="shared" ref="O69:R69" si="31">O68/O21</f>
        <v>0.8183538461538461</v>
      </c>
      <c r="R69" s="1">
        <f t="shared" si="31"/>
        <v>0.4382085280067668</v>
      </c>
      <c r="S69" s="1">
        <f>S68/S21</f>
        <v>0.49830114900085032</v>
      </c>
    </row>
    <row r="71" spans="2:19" s="39" customFormat="1" x14ac:dyDescent="0.2">
      <c r="B71" s="39" t="s">
        <v>6</v>
      </c>
      <c r="D71" s="40"/>
      <c r="F71" s="40"/>
      <c r="H71" s="40"/>
      <c r="I71" s="41">
        <f>I50</f>
        <v>17.103000000000002</v>
      </c>
      <c r="J71" s="40"/>
      <c r="K71" s="41">
        <f>K50</f>
        <v>7.734</v>
      </c>
      <c r="N71" s="41">
        <f t="shared" ref="N71:O71" si="32">N50</f>
        <v>10.185</v>
      </c>
      <c r="O71" s="41">
        <f t="shared" si="32"/>
        <v>5.5709999999999997</v>
      </c>
      <c r="R71" s="41">
        <f t="shared" ref="R71" si="33">R50</f>
        <v>2.302</v>
      </c>
      <c r="S71" s="41">
        <f>S50</f>
        <v>11.510999999999999</v>
      </c>
    </row>
    <row r="72" spans="2:19" s="39" customFormat="1" x14ac:dyDescent="0.2">
      <c r="B72" s="39" t="s">
        <v>7</v>
      </c>
      <c r="D72" s="40"/>
      <c r="F72" s="40"/>
      <c r="H72" s="40"/>
      <c r="I72" s="41">
        <f>+I54+I59</f>
        <v>215.053</v>
      </c>
      <c r="J72" s="40"/>
      <c r="K72" s="41">
        <f>+K54+K59</f>
        <v>207.95099999999999</v>
      </c>
      <c r="N72" s="41">
        <f t="shared" ref="N72:O72" si="34">+N54+N59</f>
        <v>17.268999999999998</v>
      </c>
      <c r="O72" s="41">
        <f t="shared" si="34"/>
        <v>10.09</v>
      </c>
      <c r="R72" s="41">
        <f t="shared" ref="R72" si="35">+R54+R59</f>
        <v>205.05500000000001</v>
      </c>
      <c r="S72" s="41">
        <f>+S54+S59</f>
        <v>209.494</v>
      </c>
    </row>
    <row r="73" spans="2:19" x14ac:dyDescent="0.2">
      <c r="B73" s="1" t="s">
        <v>8</v>
      </c>
      <c r="I73" s="6">
        <f>I71-I72</f>
        <v>-197.95</v>
      </c>
      <c r="K73" s="6">
        <f>K71-K72</f>
        <v>-200.21699999999998</v>
      </c>
      <c r="N73" s="6">
        <f t="shared" ref="N73:O73" si="36">N71-N72</f>
        <v>-7.0839999999999979</v>
      </c>
      <c r="O73" s="6">
        <f t="shared" si="36"/>
        <v>-4.5190000000000001</v>
      </c>
      <c r="R73" s="6">
        <f t="shared" ref="R73" si="37">R71-R72</f>
        <v>-202.75300000000001</v>
      </c>
      <c r="S73" s="6">
        <f>S71-S72</f>
        <v>-197.983</v>
      </c>
    </row>
    <row r="75" spans="2:19" s="26" customFormat="1" x14ac:dyDescent="0.2">
      <c r="B75" s="26" t="s">
        <v>93</v>
      </c>
      <c r="D75" s="35">
        <f>P75</f>
        <v>2.1429</v>
      </c>
      <c r="F75" s="35">
        <f>Q75</f>
        <v>2.968</v>
      </c>
      <c r="H75" s="35">
        <f>R75</f>
        <v>2.0017</v>
      </c>
      <c r="I75" s="26">
        <v>2.3468</v>
      </c>
      <c r="J75" s="35">
        <f>S75</f>
        <v>2.3468</v>
      </c>
      <c r="K75" s="26">
        <v>2.0657999999999999</v>
      </c>
      <c r="N75" s="26">
        <v>1.65</v>
      </c>
      <c r="O75" s="26">
        <v>2.4710000000000001</v>
      </c>
      <c r="P75" s="26">
        <v>2.1429</v>
      </c>
      <c r="Q75" s="26">
        <v>2.968</v>
      </c>
      <c r="R75" s="26">
        <v>2.0017</v>
      </c>
      <c r="S75" s="26">
        <v>2.3468</v>
      </c>
    </row>
    <row r="76" spans="2:19" s="6" customFormat="1" x14ac:dyDescent="0.2">
      <c r="B76" s="6" t="s">
        <v>5</v>
      </c>
      <c r="D76" s="44"/>
      <c r="F76" s="44"/>
      <c r="H76" s="44"/>
      <c r="I76" s="6">
        <f>I75*I21</f>
        <v>160.40096384</v>
      </c>
      <c r="J76" s="44"/>
      <c r="K76" s="6">
        <f>K75*K21</f>
        <v>141.26249443679998</v>
      </c>
      <c r="N76" s="6">
        <f t="shared" ref="N76:O76" si="38">N75*N21</f>
        <v>107.25</v>
      </c>
      <c r="O76" s="6">
        <f t="shared" si="38"/>
        <v>160.61500000000001</v>
      </c>
      <c r="R76" s="6">
        <f t="shared" ref="R76" si="39">R75*R21</f>
        <v>135.26514572780002</v>
      </c>
      <c r="S76" s="6">
        <f>S75*S21</f>
        <v>160.42316691479999</v>
      </c>
    </row>
    <row r="77" spans="2:19" s="6" customFormat="1" x14ac:dyDescent="0.2">
      <c r="B77" s="6" t="s">
        <v>9</v>
      </c>
      <c r="D77" s="44"/>
      <c r="F77" s="44"/>
      <c r="H77" s="44"/>
      <c r="I77" s="6">
        <f>I76-I73</f>
        <v>358.35096383999996</v>
      </c>
      <c r="J77" s="44"/>
      <c r="K77" s="6">
        <f>K76-K73</f>
        <v>341.4794944368</v>
      </c>
      <c r="N77" s="6">
        <f t="shared" ref="N77:O77" si="40">N76-N73</f>
        <v>114.334</v>
      </c>
      <c r="O77" s="6">
        <f t="shared" si="40"/>
        <v>165.13400000000001</v>
      </c>
      <c r="R77" s="6">
        <f t="shared" ref="R77" si="41">R76-R73</f>
        <v>338.01814572780006</v>
      </c>
      <c r="S77" s="6">
        <f>S76-S73</f>
        <v>358.4061669148</v>
      </c>
    </row>
    <row r="79" spans="2:19" s="57" customFormat="1" x14ac:dyDescent="0.2">
      <c r="B79" s="57" t="s">
        <v>28</v>
      </c>
      <c r="D79" s="58"/>
      <c r="F79" s="58"/>
      <c r="H79" s="58"/>
      <c r="I79" s="57">
        <f>I75/I69</f>
        <v>7.5958215579864596</v>
      </c>
      <c r="J79" s="58"/>
      <c r="K79" s="57">
        <f>K75/K69</f>
        <v>2.6851393190670807</v>
      </c>
      <c r="N79" s="57">
        <f t="shared" ref="N79:O79" si="42">N75/N69</f>
        <v>26.527331189710569</v>
      </c>
      <c r="O79" s="57">
        <f t="shared" si="42"/>
        <v>3.0194762468745893</v>
      </c>
      <c r="R79" s="57">
        <f t="shared" ref="R79" si="43">R75/R69</f>
        <v>4.5679165786775604</v>
      </c>
      <c r="S79" s="57">
        <f>S75/S69</f>
        <v>4.7096018235269916</v>
      </c>
    </row>
    <row r="80" spans="2:19" x14ac:dyDescent="0.2">
      <c r="B80" s="1" t="s">
        <v>29</v>
      </c>
      <c r="K80" s="57">
        <f>K76/SUM(J8:K8)</f>
        <v>1.175727591880082</v>
      </c>
      <c r="N80" s="57">
        <f t="shared" ref="N80:O80" si="44">N76/N8</f>
        <v>1.5931609203939452</v>
      </c>
      <c r="O80" s="57">
        <f t="shared" si="44"/>
        <v>2.2609093468468466</v>
      </c>
      <c r="P80" s="57"/>
      <c r="Q80" s="57"/>
      <c r="R80" s="57">
        <f t="shared" ref="R80" si="45">R76/R8</f>
        <v>3.7294975248228521</v>
      </c>
      <c r="S80" s="57">
        <f>S76/S8</f>
        <v>2.3759003408539563</v>
      </c>
    </row>
    <row r="81" spans="2:19" x14ac:dyDescent="0.2">
      <c r="B81" s="1" t="s">
        <v>30</v>
      </c>
      <c r="K81" s="57">
        <f>K77/SUM(J8:K8)</f>
        <v>2.8421334712465356</v>
      </c>
      <c r="N81" s="57">
        <f t="shared" ref="N81:O81" si="46">N77/N8</f>
        <v>1.6983912416999658</v>
      </c>
      <c r="O81" s="57">
        <f t="shared" si="46"/>
        <v>2.3245213963963964</v>
      </c>
      <c r="P81" s="57"/>
      <c r="Q81" s="57"/>
      <c r="R81" s="57">
        <f t="shared" ref="R81" si="47">R77/R8</f>
        <v>9.3197536664313905</v>
      </c>
      <c r="S81" s="57">
        <f>S77/S8</f>
        <v>5.3080695919017788</v>
      </c>
    </row>
    <row r="82" spans="2:19" x14ac:dyDescent="0.2">
      <c r="B82" s="1" t="s">
        <v>31</v>
      </c>
      <c r="K82" s="57">
        <f>K75/SUM(J20:K20)</f>
        <v>4.5418588938941094</v>
      </c>
      <c r="N82" s="57">
        <f t="shared" ref="N82:O82" si="48">N75/N20</f>
        <v>29.537317543376421</v>
      </c>
      <c r="O82" s="57">
        <f t="shared" si="48"/>
        <v>31.000772051727438</v>
      </c>
      <c r="P82" s="57"/>
      <c r="Q82" s="57"/>
      <c r="R82" s="57">
        <f t="shared" ref="R82" si="49">R75/R20</f>
        <v>-7.6218597919535709</v>
      </c>
      <c r="S82" s="57">
        <f>S75/S20</f>
        <v>40.0557220761048</v>
      </c>
    </row>
    <row r="83" spans="2:19" x14ac:dyDescent="0.2">
      <c r="B83" s="1" t="s">
        <v>32</v>
      </c>
      <c r="K83" s="57">
        <f>K77/SUM(J19:K19)</f>
        <v>10.980754210457265</v>
      </c>
      <c r="N83" s="57">
        <f t="shared" ref="N83:O83" si="50">N77/N19</f>
        <v>31.488295235472258</v>
      </c>
      <c r="O83" s="57">
        <f t="shared" si="50"/>
        <v>31.87299749083186</v>
      </c>
      <c r="P83" s="57"/>
      <c r="Q83" s="57"/>
      <c r="R83" s="57">
        <f t="shared" ref="R83" si="51">R77/R19</f>
        <v>-19.046494941556322</v>
      </c>
      <c r="S83" s="57">
        <f>S77/S19</f>
        <v>89.48967962916339</v>
      </c>
    </row>
    <row r="86" spans="2:19" x14ac:dyDescent="0.2">
      <c r="B86" s="24" t="s">
        <v>94</v>
      </c>
    </row>
    <row r="87" spans="2:19" x14ac:dyDescent="0.2">
      <c r="B87" s="1" t="s">
        <v>95</v>
      </c>
      <c r="I87" s="6">
        <v>5.2080000000000002</v>
      </c>
      <c r="J87" s="44">
        <f>S87-I87</f>
        <v>25.619</v>
      </c>
      <c r="K87" s="6">
        <v>31.850999999999999</v>
      </c>
      <c r="N87" s="1">
        <v>14.754</v>
      </c>
      <c r="O87" s="27">
        <v>13.302</v>
      </c>
      <c r="P87" s="6">
        <v>20.846</v>
      </c>
      <c r="Q87" s="6">
        <v>23.917000000000002</v>
      </c>
      <c r="R87" s="6">
        <v>4.4800000000000004</v>
      </c>
      <c r="S87" s="6">
        <v>30.827000000000002</v>
      </c>
    </row>
    <row r="88" spans="2:19" x14ac:dyDescent="0.2">
      <c r="B88" s="1" t="s">
        <v>96</v>
      </c>
      <c r="I88" s="6">
        <v>2.2919999999999998</v>
      </c>
      <c r="J88" s="44">
        <f t="shared" ref="J88:J89" si="52">S88-I88</f>
        <v>0</v>
      </c>
      <c r="K88" s="6">
        <v>-2.8780000000000001</v>
      </c>
      <c r="N88" s="1">
        <v>0</v>
      </c>
      <c r="O88" s="27">
        <v>-1.861</v>
      </c>
      <c r="P88" s="6">
        <v>-2.472</v>
      </c>
      <c r="Q88" s="6">
        <v>-2.6160000000000001</v>
      </c>
      <c r="R88" s="6">
        <v>-0.71499999999999997</v>
      </c>
      <c r="S88" s="6">
        <v>2.2919999999999998</v>
      </c>
    </row>
    <row r="89" spans="2:19" x14ac:dyDescent="0.2">
      <c r="B89" s="1" t="s">
        <v>97</v>
      </c>
      <c r="I89" s="6">
        <v>-2.6509999999999998</v>
      </c>
      <c r="J89" s="44">
        <f t="shared" si="52"/>
        <v>-3.0350000000000001</v>
      </c>
      <c r="K89" s="6">
        <v>-3.4740000000000002</v>
      </c>
      <c r="N89" s="1">
        <v>-0.97699999999999998</v>
      </c>
      <c r="O89" s="27">
        <v>-0.621</v>
      </c>
      <c r="P89" s="6">
        <v>-0.61899999999999999</v>
      </c>
      <c r="Q89" s="6">
        <v>-0.68100000000000005</v>
      </c>
      <c r="R89" s="6">
        <v>-5.766</v>
      </c>
      <c r="S89" s="6">
        <v>-5.6859999999999999</v>
      </c>
    </row>
    <row r="90" spans="2:19" s="3" customFormat="1" x14ac:dyDescent="0.2">
      <c r="B90" s="3" t="s">
        <v>98</v>
      </c>
      <c r="D90" s="33"/>
      <c r="F90" s="33"/>
      <c r="H90" s="33"/>
      <c r="I90" s="29">
        <f>SUM(I87:I89)</f>
        <v>4.8490000000000002</v>
      </c>
      <c r="J90" s="45">
        <f>SUM(J87:J89)</f>
        <v>22.584</v>
      </c>
      <c r="K90" s="29">
        <f>SUM(K87:K89)</f>
        <v>25.498999999999999</v>
      </c>
      <c r="N90" s="72">
        <f t="shared" ref="N90:R90" si="53">SUM(N87:N89)</f>
        <v>13.776999999999999</v>
      </c>
      <c r="O90" s="72">
        <f t="shared" si="53"/>
        <v>10.819999999999999</v>
      </c>
      <c r="P90" s="29">
        <f t="shared" si="53"/>
        <v>17.754999999999999</v>
      </c>
      <c r="Q90" s="29">
        <f t="shared" si="53"/>
        <v>20.62</v>
      </c>
      <c r="R90" s="29">
        <f t="shared" si="53"/>
        <v>-2.0009999999999994</v>
      </c>
      <c r="S90" s="29">
        <f>SUM(S87:S89)</f>
        <v>27.433</v>
      </c>
    </row>
    <row r="91" spans="2:19" x14ac:dyDescent="0.2">
      <c r="I91" s="6"/>
      <c r="J91" s="44"/>
      <c r="K91" s="6"/>
      <c r="P91" s="6"/>
      <c r="Q91" s="6"/>
      <c r="R91" s="6"/>
      <c r="S91" s="6"/>
    </row>
    <row r="92" spans="2:19" x14ac:dyDescent="0.2">
      <c r="B92" s="1" t="s">
        <v>130</v>
      </c>
      <c r="I92" s="6">
        <v>0</v>
      </c>
      <c r="J92" s="44">
        <v>0</v>
      </c>
      <c r="K92" s="6">
        <v>0</v>
      </c>
      <c r="N92" s="1">
        <v>0</v>
      </c>
      <c r="O92" s="6">
        <v>0</v>
      </c>
      <c r="P92" s="6">
        <v>0</v>
      </c>
      <c r="Q92" s="6">
        <v>-0.3</v>
      </c>
      <c r="R92" s="6">
        <v>0</v>
      </c>
      <c r="S92" s="6">
        <v>0</v>
      </c>
    </row>
    <row r="93" spans="2:19" x14ac:dyDescent="0.2">
      <c r="B93" s="1" t="s">
        <v>99</v>
      </c>
      <c r="I93" s="6">
        <v>0</v>
      </c>
      <c r="J93" s="44">
        <f t="shared" ref="J93:J95" si="54">S93-I93</f>
        <v>0</v>
      </c>
      <c r="K93" s="6">
        <v>-0.45400000000000001</v>
      </c>
      <c r="N93" s="1">
        <v>-2.3220000000000001</v>
      </c>
      <c r="O93" s="6">
        <v>-2.5939999999999999</v>
      </c>
      <c r="P93" s="6">
        <v>-3.9079999999999999</v>
      </c>
      <c r="Q93" s="6">
        <v>-1.4</v>
      </c>
      <c r="R93" s="6">
        <v>0</v>
      </c>
      <c r="S93" s="6">
        <v>0</v>
      </c>
    </row>
    <row r="94" spans="2:19" x14ac:dyDescent="0.2">
      <c r="B94" s="1" t="s">
        <v>100</v>
      </c>
      <c r="I94" s="6">
        <v>-0.20499999999999999</v>
      </c>
      <c r="J94" s="44">
        <f t="shared" si="54"/>
        <v>-6.9029999999999996</v>
      </c>
      <c r="K94" s="6">
        <v>-16.632000000000001</v>
      </c>
      <c r="N94" s="1">
        <v>-2.4550000000000001</v>
      </c>
      <c r="O94" s="6">
        <v>-3.4630000000000001</v>
      </c>
      <c r="P94" s="6">
        <v>-8.7080000000000002</v>
      </c>
      <c r="Q94" s="6">
        <v>-8.5559999999999992</v>
      </c>
      <c r="R94" s="6">
        <v>-6.0439999999999996</v>
      </c>
      <c r="S94" s="6">
        <v>-7.1079999999999997</v>
      </c>
    </row>
    <row r="95" spans="2:19" x14ac:dyDescent="0.2">
      <c r="B95" s="1" t="s">
        <v>101</v>
      </c>
      <c r="I95" s="6">
        <v>0</v>
      </c>
      <c r="J95" s="44">
        <f t="shared" si="54"/>
        <v>-2.4E-2</v>
      </c>
      <c r="K95" s="6">
        <v>-1.2999999999999999E-2</v>
      </c>
      <c r="N95" s="1">
        <v>-0.57499999999999996</v>
      </c>
      <c r="O95" s="6">
        <v>-0.16</v>
      </c>
      <c r="P95" s="6">
        <v>-0.19</v>
      </c>
      <c r="Q95" s="6">
        <v>-0.21199999999999999</v>
      </c>
      <c r="R95" s="6">
        <v>-0.11899999999999999</v>
      </c>
      <c r="S95" s="6">
        <v>-2.4E-2</v>
      </c>
    </row>
    <row r="96" spans="2:19" s="3" customFormat="1" x14ac:dyDescent="0.2">
      <c r="B96" s="3" t="s">
        <v>102</v>
      </c>
      <c r="D96" s="33"/>
      <c r="F96" s="33"/>
      <c r="H96" s="33"/>
      <c r="I96" s="29">
        <f t="shared" ref="I96" si="55">SUM(I92:I95)</f>
        <v>-0.20499999999999999</v>
      </c>
      <c r="J96" s="45">
        <f t="shared" ref="J96" si="56">SUM(J92:J95)</f>
        <v>-6.9269999999999996</v>
      </c>
      <c r="K96" s="29">
        <f t="shared" ref="K96" si="57">SUM(K92:K95)</f>
        <v>-17.099000000000004</v>
      </c>
      <c r="N96" s="29">
        <f t="shared" ref="N96:P96" si="58">SUM(N92:N95)</f>
        <v>-5.3520000000000003</v>
      </c>
      <c r="O96" s="29">
        <f t="shared" si="58"/>
        <v>-6.2170000000000005</v>
      </c>
      <c r="P96" s="29">
        <f t="shared" si="58"/>
        <v>-12.805999999999999</v>
      </c>
      <c r="Q96" s="29">
        <f t="shared" ref="Q96" si="59">SUM(Q92:Q95)</f>
        <v>-10.467999999999998</v>
      </c>
      <c r="R96" s="29">
        <f t="shared" ref="R96" si="60">SUM(R92:R95)</f>
        <v>-6.1629999999999994</v>
      </c>
      <c r="S96" s="29">
        <f t="shared" ref="S96" si="61">SUM(S92:S95)</f>
        <v>-7.1319999999999997</v>
      </c>
    </row>
    <row r="97" spans="2:19" x14ac:dyDescent="0.2">
      <c r="I97" s="6"/>
      <c r="J97" s="44"/>
      <c r="K97" s="6"/>
      <c r="P97" s="6"/>
      <c r="R97" s="6"/>
      <c r="S97" s="6"/>
    </row>
    <row r="98" spans="2:19" x14ac:dyDescent="0.2">
      <c r="B98" s="1" t="s">
        <v>123</v>
      </c>
      <c r="I98" s="6">
        <v>0</v>
      </c>
      <c r="J98" s="44">
        <v>0</v>
      </c>
      <c r="K98" s="6">
        <v>0</v>
      </c>
      <c r="N98" s="6">
        <v>4.0000000000000001E-3</v>
      </c>
      <c r="O98" s="6">
        <v>1E-3</v>
      </c>
      <c r="P98" s="6">
        <v>0</v>
      </c>
      <c r="Q98" s="6">
        <v>0</v>
      </c>
      <c r="R98" s="6">
        <v>5.0380000000000003</v>
      </c>
      <c r="S98" s="6">
        <v>0</v>
      </c>
    </row>
    <row r="99" spans="2:19" x14ac:dyDescent="0.2">
      <c r="B99" s="1" t="s">
        <v>124</v>
      </c>
      <c r="I99" s="6">
        <v>0</v>
      </c>
      <c r="J99" s="44">
        <v>0</v>
      </c>
      <c r="K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-0.16</v>
      </c>
      <c r="S99" s="6">
        <v>0</v>
      </c>
    </row>
    <row r="100" spans="2:19" x14ac:dyDescent="0.2">
      <c r="B100" s="1" t="s">
        <v>131</v>
      </c>
      <c r="I100" s="6">
        <v>0</v>
      </c>
      <c r="J100" s="44">
        <v>0</v>
      </c>
      <c r="K100" s="6">
        <v>0</v>
      </c>
      <c r="N100" s="6">
        <v>0</v>
      </c>
      <c r="O100" s="6">
        <v>0</v>
      </c>
      <c r="P100" s="6">
        <v>0</v>
      </c>
      <c r="Q100" s="6">
        <v>-0.153</v>
      </c>
      <c r="R100" s="6">
        <v>0</v>
      </c>
      <c r="S100" s="6">
        <v>0</v>
      </c>
    </row>
    <row r="101" spans="2:19" x14ac:dyDescent="0.2">
      <c r="B101" s="1" t="s">
        <v>103</v>
      </c>
      <c r="I101" s="6">
        <v>-2.9350000000000001</v>
      </c>
      <c r="J101" s="44">
        <f t="shared" ref="J101:J104" si="62">S101-I101</f>
        <v>-7.0670000000000002</v>
      </c>
      <c r="K101" s="6">
        <v>-5.1769999999999996</v>
      </c>
      <c r="N101" s="6">
        <v>-1.4710000000000001</v>
      </c>
      <c r="O101" s="6">
        <v>-2.3119999999999998</v>
      </c>
      <c r="P101" s="6">
        <v>-2.222</v>
      </c>
      <c r="Q101" s="6">
        <v>-2.7090000000000001</v>
      </c>
      <c r="R101" s="6">
        <v>-2.8530000000000002</v>
      </c>
      <c r="S101" s="6">
        <v>-10.002000000000001</v>
      </c>
    </row>
    <row r="102" spans="2:19" x14ac:dyDescent="0.2">
      <c r="B102" s="1" t="s">
        <v>125</v>
      </c>
      <c r="I102" s="6">
        <v>0</v>
      </c>
      <c r="J102" s="44">
        <v>0</v>
      </c>
      <c r="K102" s="6">
        <v>0</v>
      </c>
      <c r="N102" s="6">
        <v>0</v>
      </c>
      <c r="O102" s="6">
        <v>0</v>
      </c>
      <c r="P102" s="6">
        <v>-6.5</v>
      </c>
      <c r="Q102" s="6">
        <v>-7.15</v>
      </c>
      <c r="R102" s="6">
        <v>-2.4049999999999998</v>
      </c>
      <c r="S102" s="6">
        <v>0</v>
      </c>
    </row>
    <row r="103" spans="2:19" x14ac:dyDescent="0.2">
      <c r="B103" s="1" t="s">
        <v>104</v>
      </c>
      <c r="I103" s="6">
        <v>18</v>
      </c>
      <c r="J103" s="44">
        <f t="shared" si="62"/>
        <v>4</v>
      </c>
      <c r="K103" s="6">
        <v>0</v>
      </c>
      <c r="N103" s="6">
        <v>0</v>
      </c>
      <c r="O103" s="6">
        <v>6</v>
      </c>
      <c r="P103" s="6">
        <v>8.5</v>
      </c>
      <c r="Q103" s="6">
        <v>17</v>
      </c>
      <c r="R103" s="6">
        <v>18.350000000000001</v>
      </c>
      <c r="S103" s="6">
        <v>22</v>
      </c>
    </row>
    <row r="104" spans="2:19" x14ac:dyDescent="0.2">
      <c r="B104" s="1" t="s">
        <v>105</v>
      </c>
      <c r="I104" s="6">
        <v>-10</v>
      </c>
      <c r="J104" s="44">
        <f t="shared" si="62"/>
        <v>-18</v>
      </c>
      <c r="K104" s="6">
        <v>-7</v>
      </c>
      <c r="N104" s="6">
        <v>-3.5939999999999999</v>
      </c>
      <c r="O104" s="6">
        <v>-12.906000000000001</v>
      </c>
      <c r="P104" s="6">
        <v>-5</v>
      </c>
      <c r="Q104" s="6">
        <v>-20.25</v>
      </c>
      <c r="R104" s="6">
        <v>-4.5999999999999996</v>
      </c>
      <c r="S104" s="6">
        <v>-28</v>
      </c>
    </row>
    <row r="105" spans="2:19" s="3" customFormat="1" x14ac:dyDescent="0.2">
      <c r="B105" s="3" t="s">
        <v>106</v>
      </c>
      <c r="D105" s="33"/>
      <c r="F105" s="33"/>
      <c r="H105" s="33"/>
      <c r="I105" s="29">
        <f t="shared" ref="I105" si="63">SUM(I98:I104)</f>
        <v>5.0649999999999995</v>
      </c>
      <c r="J105" s="45">
        <f t="shared" ref="J105" si="64">SUM(J98:J104)</f>
        <v>-21.067</v>
      </c>
      <c r="K105" s="29">
        <f t="shared" ref="K105" si="65">SUM(K98:K104)</f>
        <v>-12.177</v>
      </c>
      <c r="N105" s="29">
        <f t="shared" ref="N105:P105" si="66">SUM(N98:N104)</f>
        <v>-5.0609999999999999</v>
      </c>
      <c r="O105" s="29">
        <f t="shared" si="66"/>
        <v>-9.2170000000000005</v>
      </c>
      <c r="P105" s="29">
        <f t="shared" si="66"/>
        <v>-5.2219999999999995</v>
      </c>
      <c r="Q105" s="29">
        <f>SUM(Q98:Q104)</f>
        <v>-13.262</v>
      </c>
      <c r="R105" s="29">
        <f t="shared" ref="R105:S105" si="67">SUM(R98:R104)</f>
        <v>13.370000000000003</v>
      </c>
      <c r="S105" s="29">
        <f t="shared" si="67"/>
        <v>-16.002000000000002</v>
      </c>
    </row>
    <row r="106" spans="2:19" x14ac:dyDescent="0.2">
      <c r="R106" s="6"/>
    </row>
    <row r="107" spans="2:19" x14ac:dyDescent="0.2">
      <c r="B107" s="1" t="s">
        <v>107</v>
      </c>
      <c r="I107" s="6">
        <f>+I93+I94+I95</f>
        <v>-0.20499999999999999</v>
      </c>
      <c r="J107" s="44">
        <f>+J93+J94+J95</f>
        <v>-6.9269999999999996</v>
      </c>
      <c r="K107" s="6">
        <f>+K93+K94+K95</f>
        <v>-17.099000000000004</v>
      </c>
      <c r="N107" s="6">
        <f t="shared" ref="N107:O107" si="68">+N93+N94+N95</f>
        <v>-5.3520000000000003</v>
      </c>
      <c r="O107" s="6">
        <f t="shared" ref="O107:P107" si="69">+O93+O94+O95</f>
        <v>-6.2170000000000005</v>
      </c>
      <c r="P107" s="6">
        <f t="shared" si="69"/>
        <v>-12.805999999999999</v>
      </c>
      <c r="Q107" s="6">
        <f t="shared" ref="Q107:R107" si="70">+Q93+Q94+Q95</f>
        <v>-10.167999999999999</v>
      </c>
      <c r="R107" s="6">
        <f t="shared" si="70"/>
        <v>-6.1629999999999994</v>
      </c>
      <c r="S107" s="6">
        <f>+S93+S94+S95</f>
        <v>-7.1319999999999997</v>
      </c>
    </row>
    <row r="108" spans="2:19" s="3" customFormat="1" x14ac:dyDescent="0.2">
      <c r="B108" s="3" t="s">
        <v>108</v>
      </c>
      <c r="D108" s="33"/>
      <c r="F108" s="33"/>
      <c r="H108" s="33"/>
      <c r="I108" s="29">
        <f>+I90+I107</f>
        <v>4.6440000000000001</v>
      </c>
      <c r="J108" s="45">
        <f>+J90+J107</f>
        <v>15.657</v>
      </c>
      <c r="K108" s="29">
        <f>+K90+K107</f>
        <v>8.399999999999995</v>
      </c>
      <c r="N108" s="29">
        <f t="shared" ref="N108:O108" si="71">+N90+N107</f>
        <v>8.4249999999999989</v>
      </c>
      <c r="O108" s="29">
        <f t="shared" ref="O108:P108" si="72">+O90+O107</f>
        <v>4.602999999999998</v>
      </c>
      <c r="P108" s="29">
        <f t="shared" si="72"/>
        <v>4.9489999999999998</v>
      </c>
      <c r="Q108" s="29">
        <f t="shared" ref="Q108:R108" si="73">+Q90+Q107</f>
        <v>10.452000000000002</v>
      </c>
      <c r="R108" s="29">
        <f t="shared" si="73"/>
        <v>-8.1639999999999979</v>
      </c>
      <c r="S108" s="29">
        <f>+S90+S107</f>
        <v>20.301000000000002</v>
      </c>
    </row>
  </sheetData>
  <hyperlinks>
    <hyperlink ref="K1" r:id="rId1" xr:uid="{4AF70136-1990-41FC-9821-A532866EF9F7}"/>
    <hyperlink ref="S1" r:id="rId2" xr:uid="{554E5D0D-5054-42D6-BF8F-B3F5BCA52C04}"/>
    <hyperlink ref="Q1" r:id="rId3" xr:uid="{216FF58D-FA70-405C-A407-B5B577849372}"/>
    <hyperlink ref="O1" r:id="rId4" xr:uid="{6E36EA97-7B8A-43C0-B9ED-837CF2901242}"/>
  </hyperlinks>
  <pageMargins left="0.7" right="0.7" top="0.75" bottom="0.75" header="0.3" footer="0.3"/>
  <pageSetup paperSize="125" orientation="portrait" horizontalDpi="203" verticalDpi="203" r:id="rId5"/>
  <ignoredErrors>
    <ignoredError sqref="J10 J15:J18" formula="1"/>
    <ignoredError sqref="R101:R104 Q8 S8 Q38:S38 R98:R99 N38:P38" formulaRange="1"/>
  </ignoredErrors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2022-07-06T18:16:50Z</dcterms:created>
  <dcterms:modified xsi:type="dcterms:W3CDTF">2023-03-12T14:14:12Z</dcterms:modified>
</cp:coreProperties>
</file>