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BE8C9D5D-1499-4D4E-A4E2-55172DDE2247}" xr6:coauthVersionLast="47" xr6:coauthVersionMax="47" xr10:uidLastSave="{00000000-0000-0000-0000-000000000000}"/>
  <bookViews>
    <workbookView xWindow="0" yWindow="500" windowWidth="31500" windowHeight="18900" activeTab="1" xr2:uid="{C965C64C-6189-49A9-ABBD-37EA87F8BC3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2" l="1"/>
  <c r="H35" i="2"/>
  <c r="H34" i="2"/>
  <c r="H33" i="2"/>
  <c r="H76" i="2"/>
  <c r="H57" i="2"/>
  <c r="H51" i="2"/>
  <c r="H46" i="2"/>
  <c r="H43" i="2"/>
  <c r="H59" i="2"/>
  <c r="H58" i="2"/>
  <c r="H56" i="2"/>
  <c r="H54" i="2"/>
  <c r="H53" i="2"/>
  <c r="H50" i="2"/>
  <c r="H49" i="2"/>
  <c r="H45" i="2"/>
  <c r="H44" i="2"/>
  <c r="H41" i="2"/>
  <c r="H40" i="2"/>
  <c r="H39" i="2"/>
  <c r="L6" i="2"/>
  <c r="U6" i="2"/>
  <c r="S66" i="2"/>
  <c r="S83" i="2"/>
  <c r="S80" i="2"/>
  <c r="S77" i="2"/>
  <c r="S78" i="2" s="1"/>
  <c r="K81" i="2"/>
  <c r="J73" i="2"/>
  <c r="T77" i="2"/>
  <c r="J76" i="2"/>
  <c r="H2" i="2"/>
  <c r="J18" i="2"/>
  <c r="J15" i="2"/>
  <c r="J13" i="2"/>
  <c r="J12" i="2"/>
  <c r="J10" i="2"/>
  <c r="J9" i="2"/>
  <c r="J7" i="2"/>
  <c r="J6" i="2"/>
  <c r="J24" i="2" s="1"/>
  <c r="T26" i="2"/>
  <c r="T23" i="2"/>
  <c r="T22" i="2"/>
  <c r="T21" i="2"/>
  <c r="S8" i="2"/>
  <c r="S26" i="2" s="1"/>
  <c r="T8" i="2"/>
  <c r="T11" i="2" s="1"/>
  <c r="J5" i="2"/>
  <c r="J4" i="2"/>
  <c r="S33" i="2"/>
  <c r="T33" i="2"/>
  <c r="J3" i="2"/>
  <c r="J2" i="2"/>
  <c r="D7" i="1"/>
  <c r="I77" i="2"/>
  <c r="K77" i="2"/>
  <c r="C7" i="1"/>
  <c r="J59" i="2"/>
  <c r="J58" i="2"/>
  <c r="J56" i="2"/>
  <c r="J54" i="2"/>
  <c r="J53" i="2"/>
  <c r="J50" i="2"/>
  <c r="J49" i="2"/>
  <c r="J57" i="2"/>
  <c r="J52" i="2"/>
  <c r="J51" i="2"/>
  <c r="J46" i="2"/>
  <c r="J45" i="2"/>
  <c r="J44" i="2"/>
  <c r="J43" i="2"/>
  <c r="K73" i="2" s="1"/>
  <c r="J41" i="2"/>
  <c r="J40" i="2"/>
  <c r="J39" i="2"/>
  <c r="K72" i="2"/>
  <c r="C27" i="1"/>
  <c r="D11" i="1"/>
  <c r="D10" i="1"/>
  <c r="D9" i="1"/>
  <c r="J77" i="2" l="1"/>
  <c r="J81" i="2" s="1"/>
  <c r="T14" i="2"/>
  <c r="T27" i="2"/>
  <c r="S11" i="2"/>
  <c r="K24" i="2"/>
  <c r="J8" i="2"/>
  <c r="K23" i="2"/>
  <c r="K22" i="2"/>
  <c r="J33" i="2"/>
  <c r="K33" i="2"/>
  <c r="C25" i="1" s="1"/>
  <c r="T69" i="2"/>
  <c r="T68" i="2"/>
  <c r="T55" i="2"/>
  <c r="T60" i="2" s="1"/>
  <c r="T42" i="2"/>
  <c r="T47" i="2" s="1"/>
  <c r="S69" i="2"/>
  <c r="S68" i="2"/>
  <c r="S55" i="2"/>
  <c r="S60" i="2" s="1"/>
  <c r="S42" i="2"/>
  <c r="S47" i="2" s="1"/>
  <c r="R69" i="2"/>
  <c r="R68" i="2"/>
  <c r="R70" i="2" s="1"/>
  <c r="R55" i="2"/>
  <c r="R60" i="2" s="1"/>
  <c r="R42" i="2"/>
  <c r="R47" i="2" s="1"/>
  <c r="Q69" i="2"/>
  <c r="Q68" i="2"/>
  <c r="Q55" i="2"/>
  <c r="Q60" i="2" s="1"/>
  <c r="Q42" i="2"/>
  <c r="Q47" i="2" s="1"/>
  <c r="J55" i="2"/>
  <c r="J60" i="2" s="1"/>
  <c r="I55" i="2"/>
  <c r="I60" i="2" s="1"/>
  <c r="H55" i="2"/>
  <c r="H60" i="2" s="1"/>
  <c r="G55" i="2"/>
  <c r="G60" i="2" s="1"/>
  <c r="F55" i="2"/>
  <c r="F60" i="2" s="1"/>
  <c r="E55" i="2"/>
  <c r="E60" i="2" s="1"/>
  <c r="D55" i="2"/>
  <c r="D60" i="2" s="1"/>
  <c r="C55" i="2"/>
  <c r="C60" i="2" s="1"/>
  <c r="J42" i="2"/>
  <c r="J47" i="2" s="1"/>
  <c r="I42" i="2"/>
  <c r="I47" i="2" s="1"/>
  <c r="H42" i="2"/>
  <c r="H47" i="2" s="1"/>
  <c r="G42" i="2"/>
  <c r="G47" i="2" s="1"/>
  <c r="F42" i="2"/>
  <c r="F47" i="2" s="1"/>
  <c r="E42" i="2"/>
  <c r="E47" i="2" s="1"/>
  <c r="D42" i="2"/>
  <c r="D47" i="2" s="1"/>
  <c r="C42" i="2"/>
  <c r="C47" i="2" s="1"/>
  <c r="K42" i="2"/>
  <c r="K47" i="2" s="1"/>
  <c r="K55" i="2"/>
  <c r="K60" i="2" s="1"/>
  <c r="J69" i="2"/>
  <c r="I69" i="2"/>
  <c r="H69" i="2"/>
  <c r="G69" i="2"/>
  <c r="F69" i="2"/>
  <c r="E69" i="2"/>
  <c r="D69" i="2"/>
  <c r="C69" i="2"/>
  <c r="J68" i="2"/>
  <c r="I68" i="2"/>
  <c r="H68" i="2"/>
  <c r="G68" i="2"/>
  <c r="G70" i="2" s="1"/>
  <c r="F68" i="2"/>
  <c r="E68" i="2"/>
  <c r="D68" i="2"/>
  <c r="C68" i="2"/>
  <c r="K69" i="2"/>
  <c r="C10" i="1" s="1"/>
  <c r="K68" i="2"/>
  <c r="C9" i="1" s="1"/>
  <c r="H70" i="2" l="1"/>
  <c r="Q70" i="2"/>
  <c r="S70" i="2"/>
  <c r="J11" i="2"/>
  <c r="J26" i="2"/>
  <c r="S14" i="2"/>
  <c r="S27" i="2"/>
  <c r="T16" i="2"/>
  <c r="T29" i="2"/>
  <c r="T70" i="2"/>
  <c r="T78" i="2" s="1"/>
  <c r="F70" i="2"/>
  <c r="I70" i="2"/>
  <c r="I78" i="2" s="1"/>
  <c r="K65" i="2"/>
  <c r="K66" i="2" s="1"/>
  <c r="K80" i="2" s="1"/>
  <c r="K62" i="2"/>
  <c r="K63" i="2" s="1"/>
  <c r="J62" i="2"/>
  <c r="J63" i="2" s="1"/>
  <c r="J65" i="2"/>
  <c r="J66" i="2" s="1"/>
  <c r="J80" i="2" s="1"/>
  <c r="H65" i="2"/>
  <c r="H62" i="2"/>
  <c r="H63" i="2" s="1"/>
  <c r="I62" i="2"/>
  <c r="I63" i="2" s="1"/>
  <c r="I65" i="2"/>
  <c r="I66" i="2" s="1"/>
  <c r="I80" i="2" s="1"/>
  <c r="C65" i="2"/>
  <c r="C62" i="2"/>
  <c r="C63" i="2" s="1"/>
  <c r="D62" i="2"/>
  <c r="D63" i="2" s="1"/>
  <c r="D65" i="2"/>
  <c r="E65" i="2"/>
  <c r="E62" i="2"/>
  <c r="E63" i="2" s="1"/>
  <c r="F65" i="2"/>
  <c r="F62" i="2"/>
  <c r="F63" i="2" s="1"/>
  <c r="G65" i="2"/>
  <c r="G62" i="2"/>
  <c r="G63" i="2" s="1"/>
  <c r="K70" i="2"/>
  <c r="K78" i="2" s="1"/>
  <c r="T65" i="2"/>
  <c r="T66" i="2" s="1"/>
  <c r="T80" i="2" s="1"/>
  <c r="T62" i="2"/>
  <c r="T63" i="2" s="1"/>
  <c r="S65" i="2"/>
  <c r="S62" i="2"/>
  <c r="S63" i="2" s="1"/>
  <c r="R65" i="2"/>
  <c r="R62" i="2"/>
  <c r="R63" i="2" s="1"/>
  <c r="Q65" i="2"/>
  <c r="Q62" i="2"/>
  <c r="Q63" i="2" s="1"/>
  <c r="C70" i="2"/>
  <c r="D70" i="2"/>
  <c r="E70" i="2"/>
  <c r="J70" i="2"/>
  <c r="J78" i="2" s="1"/>
  <c r="K21" i="2"/>
  <c r="I8" i="2"/>
  <c r="I26" i="2" s="1"/>
  <c r="K8" i="2"/>
  <c r="K26" i="2" s="1"/>
  <c r="T28" i="2" l="1"/>
  <c r="T17" i="2"/>
  <c r="T83" i="2" s="1"/>
  <c r="S16" i="2"/>
  <c r="S29" i="2"/>
  <c r="J14" i="2"/>
  <c r="J27" i="2"/>
  <c r="C34" i="1"/>
  <c r="I11" i="2"/>
  <c r="I14" i="2" s="1"/>
  <c r="K11" i="2"/>
  <c r="C8" i="1"/>
  <c r="C35" i="1" s="1"/>
  <c r="C11" i="1"/>
  <c r="I27" i="2" l="1"/>
  <c r="J16" i="2"/>
  <c r="J29" i="2"/>
  <c r="S28" i="2"/>
  <c r="S17" i="2"/>
  <c r="K27" i="2"/>
  <c r="K14" i="2"/>
  <c r="I16" i="2"/>
  <c r="I29" i="2"/>
  <c r="C12" i="1"/>
  <c r="J28" i="2" l="1"/>
  <c r="J17" i="2"/>
  <c r="I28" i="2"/>
  <c r="I17" i="2"/>
  <c r="J83" i="2" s="1"/>
  <c r="K29" i="2"/>
  <c r="K16" i="2"/>
  <c r="K28" i="2" l="1"/>
  <c r="K17" i="2"/>
  <c r="C37" i="1" s="1"/>
  <c r="K83" i="2" l="1"/>
</calcChain>
</file>

<file path=xl/sharedStrings.xml><?xml version="1.0" encoding="utf-8"?>
<sst xmlns="http://schemas.openxmlformats.org/spreadsheetml/2006/main" count="140" uniqueCount="119">
  <si>
    <t>£SHOE</t>
  </si>
  <si>
    <t>Shoe Zone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</si>
  <si>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</si>
  <si>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</si>
  <si>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</si>
  <si>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</si>
  <si>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</si>
  <si>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</si>
  <si>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</si>
  <si>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</si>
  <si>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</si>
  <si>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</si>
  <si>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</si>
  <si>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</si>
  <si>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</si>
  <si>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</si>
  <si>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</si>
  <si>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</si>
  <si>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Inventory</t>
  </si>
  <si>
    <t>Update</t>
  </si>
  <si>
    <t>IR</t>
  </si>
  <si>
    <t>Leicester, UK</t>
  </si>
  <si>
    <t>John C.P. Smith</t>
  </si>
  <si>
    <t>Anthony E.P. Smith</t>
  </si>
  <si>
    <t>Terry Boot</t>
  </si>
  <si>
    <t>Sec</t>
  </si>
  <si>
    <t>Ms. Catherine Bowen</t>
  </si>
  <si>
    <t>Key Events</t>
  </si>
  <si>
    <t>Link</t>
  </si>
  <si>
    <t>Key Metrics/Ratios</t>
  </si>
  <si>
    <t>P/B</t>
  </si>
  <si>
    <t>P/E</t>
  </si>
  <si>
    <t>P/S</t>
  </si>
  <si>
    <t>EV/S</t>
  </si>
  <si>
    <t>EV/E</t>
  </si>
  <si>
    <t>ROCE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</si>
  <si>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</si>
  <si>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</si>
  <si>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</si>
  <si>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</si>
  <si>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</si>
  <si>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</si>
  <si>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</si>
  <si>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</si>
  <si>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</si>
  <si>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</si>
  <si>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</si>
  <si>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</si>
  <si>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</si>
  <si>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</si>
  <si>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</si>
  <si>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</si>
  <si>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</si>
  <si>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</si>
  <si>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</si>
  <si>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</si>
  <si>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</si>
  <si>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</si>
  <si>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</si>
  <si>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</si>
  <si>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</si>
  <si>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</si>
  <si>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</si>
  <si>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</si>
  <si>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COGS</t>
  </si>
  <si>
    <t>Gross Profit</t>
  </si>
  <si>
    <t>Administration</t>
  </si>
  <si>
    <t>Distribution</t>
  </si>
  <si>
    <t>Operating Income</t>
  </si>
  <si>
    <t>Finance Income</t>
  </si>
  <si>
    <t>Finance Expense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</si>
  <si>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</si>
  <si>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</si>
  <si>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</si>
  <si>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</si>
  <si>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</si>
  <si>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</si>
  <si>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</si>
  <si>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</si>
  <si>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</si>
  <si>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</si>
  <si>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Balance Sheet</t>
  </si>
  <si>
    <t>PP&amp;E</t>
  </si>
  <si>
    <t>ROU</t>
  </si>
  <si>
    <t>Deferred Taxes</t>
  </si>
  <si>
    <t>Total NCA</t>
  </si>
  <si>
    <t>Inventories</t>
  </si>
  <si>
    <t>Trade &amp; A/R</t>
  </si>
  <si>
    <t>Derivative Financial Assets</t>
  </si>
  <si>
    <t>Assets</t>
  </si>
  <si>
    <t>Trade &amp; A/P</t>
  </si>
  <si>
    <t>Lease Liabilities</t>
  </si>
  <si>
    <t>Derivative Financial Liabilities</t>
  </si>
  <si>
    <t>Bank Loans</t>
  </si>
  <si>
    <t>Provisions</t>
  </si>
  <si>
    <t>Corporation Tax</t>
  </si>
  <si>
    <t>TCL</t>
  </si>
  <si>
    <t>Employee Benefit</t>
  </si>
  <si>
    <t>Liabilities</t>
  </si>
  <si>
    <t>S/E</t>
  </si>
  <si>
    <t>S/E+L</t>
  </si>
  <si>
    <t>Book Value</t>
  </si>
  <si>
    <t>Book Value per Share</t>
  </si>
  <si>
    <t>Inventory Y/Y</t>
  </si>
  <si>
    <t>Inventory H/H</t>
  </si>
  <si>
    <t>Inventory/Revneue</t>
  </si>
  <si>
    <t>Share Price</t>
  </si>
  <si>
    <t>Store Revenue</t>
  </si>
  <si>
    <t>Digital Revenue</t>
  </si>
  <si>
    <t>Non-Finance Metrics</t>
  </si>
  <si>
    <t>Stores</t>
  </si>
  <si>
    <t>Big Box</t>
  </si>
  <si>
    <t>Hybrid</t>
  </si>
  <si>
    <t>Original</t>
  </si>
  <si>
    <t>Store Revenue Y/Y</t>
  </si>
  <si>
    <t>Digital Revenue Y/Y</t>
  </si>
  <si>
    <t>Energy prices are fixed until September 2023, which should offset any market volatility from Ukraine war</t>
  </si>
  <si>
    <t>-</t>
  </si>
  <si>
    <t>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</si>
</sst>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9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1" fillId="5" borderId="0" xfId="0" applyFont="1" applyFill="1"/>
    <xf numFmtId="0" fontId="4" fillId="0" borderId="0" xfId="1" applyFont="1" applyAlignment="1">
      <alignment horizontal="right"/>
    </xf>
    <xf numFmtId="14" fontId="6" fillId="0" borderId="0" xfId="0" applyNumberFormat="1" applyFont="1" applyAlignment="1">
      <alignment horizontal="right"/>
    </xf>
    <xf numFmtId="16" fontId="6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5" borderId="0" xfId="0" applyFont="1" applyFill="1"/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9" fontId="1" fillId="5" borderId="0" xfId="0" applyNumberFormat="1" applyFont="1" applyFill="1"/>
    <xf numFmtId="0" fontId="7" fillId="0" borderId="0" xfId="0" applyFont="1"/>
    <xf numFmtId="0" fontId="8" fillId="0" borderId="0" xfId="0" applyFont="1"/>
    <xf numFmtId="0" fontId="8" fillId="5" borderId="0" xfId="0" applyFont="1" applyFill="1"/>
    <xf numFmtId="0" fontId="1" fillId="0" borderId="0" xfId="0" applyFont="1" applyAlignment="1">
      <alignment horizontal="left" indent="1"/>
    </xf>
    <xf numFmtId="164" fontId="8" fillId="0" borderId="0" xfId="0" applyNumberFormat="1" applyFont="1"/>
    <xf numFmtId="0" fontId="9" fillId="5" borderId="0" xfId="0" applyFont="1" applyFill="1"/>
    <xf numFmtId="9" fontId="7" fillId="0" borderId="0" xfId="0" applyNumberFormat="1" applyFont="1"/>
    <xf numFmtId="9" fontId="8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5" fontId="1" fillId="0" borderId="0" xfId="0" applyNumberFormat="1" applyFont="1"/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6" fontId="1" fillId="0" borderId="0" xfId="0" applyNumberFormat="1" applyFont="1"/>
    <xf numFmtId="166" fontId="1" fillId="5" borderId="0" xfId="0" applyNumberFormat="1" applyFont="1" applyFill="1"/>
    <xf numFmtId="4" fontId="1" fillId="0" borderId="0" xfId="0" applyNumberFormat="1" applyFont="1"/>
    <xf numFmtId="4" fontId="1" fillId="5" borderId="0" xfId="0" applyNumberFormat="1" applyFont="1" applyFill="1"/>
    <xf numFmtId="169" fontId="1" fillId="0" borderId="0" xfId="0" applyNumberFormat="1" applyFont="1"/>
    <xf numFmtId="169" fontId="1" fillId="5" borderId="0" xfId="0" applyNumberFormat="1" applyFont="1" applyFill="1"/>
    <xf numFmtId="169" fontId="1" fillId="4" borderId="0" xfId="0" applyNumberFormat="1" applyFont="1" applyFill="1" applyAlignment="1">
      <alignment horizontal="center"/>
    </xf>
    <xf numFmtId="169" fontId="1" fillId="4" borderId="5" xfId="0" applyNumberFormat="1" applyFont="1" applyFill="1" applyBorder="1" applyAlignment="1">
      <alignment horizontal="center"/>
    </xf>
    <xf numFmtId="14" fontId="6" fillId="5" borderId="0" xfId="0" applyNumberFormat="1" applyFont="1" applyFill="1" applyAlignment="1">
      <alignment horizontal="right"/>
    </xf>
    <xf numFmtId="17" fontId="6" fillId="0" borderId="0" xfId="0" applyNumberFormat="1" applyFont="1" applyAlignment="1">
      <alignment horizontal="right"/>
    </xf>
    <xf numFmtId="17" fontId="6" fillId="5" borderId="0" xfId="0" applyNumberFormat="1" applyFont="1" applyFill="1" applyAlignment="1">
      <alignment horizontal="right"/>
    </xf>
    <xf numFmtId="164" fontId="8" fillId="5" borderId="0" xfId="0" applyNumberFormat="1" applyFont="1" applyFill="1"/>
    <xf numFmtId="0" fontId="1" fillId="6" borderId="0" xfId="0" applyFont="1" applyFill="1"/>
    <xf numFmtId="164" fontId="2" fillId="5" borderId="0" xfId="0" applyNumberFormat="1" applyFont="1" applyFill="1"/>
    <xf numFmtId="165" fontId="1" fillId="5" borderId="0" xfId="0" applyNumberFormat="1" applyFont="1" applyFill="1"/>
    <xf numFmtId="164" fontId="1" fillId="5" borderId="0" xfId="0" applyNumberFormat="1" applyFont="1" applyFill="1"/>
    <xf numFmtId="165" fontId="2" fillId="5" borderId="0" xfId="0" applyNumberFormat="1" applyFont="1" applyFill="1"/>
    <xf numFmtId="164" fontId="8" fillId="7" borderId="0" xfId="0" applyNumberFormat="1" applyFont="1" applyFill="1"/>
    <xf numFmtId="0" fontId="8" fillId="7" borderId="0" xfId="0" applyFont="1" applyFill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5" fontId="9" fillId="7" borderId="0" xfId="0" applyNumberFormat="1" applyFont="1" applyFill="1"/>
    <xf numFmtId="0" fontId="9" fillId="7" borderId="0" xfId="0" applyFont="1" applyFill="1"/>
    <xf numFmtId="9" fontId="9" fillId="7" borderId="0" xfId="0" applyNumberFormat="1" applyFont="1" applyFill="1"/>
    <xf numFmtId="9" fontId="8" fillId="7" borderId="0" xfId="0" applyNumberFormat="1" applyFont="1" applyFill="1"/>
    <xf numFmtId="4" fontId="8" fillId="7" borderId="0" xfId="0" applyNumberFormat="1" applyFont="1" applyFill="1"/>
    <xf numFmtId="169" fontId="8" fillId="7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</xdr:row>
      <xdr:rowOff>28575</xdr:rowOff>
    </xdr:from>
    <xdr:to>
      <xdr:col>5</xdr:col>
      <xdr:colOff>238125</xdr:colOff>
      <xdr:row>2</xdr:row>
      <xdr:rowOff>102929</xdr:rowOff>
    </xdr:to>
    <xdr:pic>
      <xdr:nvPicPr>
        <xdr:cNvPr id="3" name="Picture 2" descr="Company Logo">
          <a:extLst>
            <a:ext uri="{FF2B5EF4-FFF2-40B4-BE49-F238E27FC236}">
              <a16:creationId xmlns:a16="http://schemas.microsoft.com/office/drawing/2014/main" id="{9A010839-D670-4660-9655-4AD9E700D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190500"/>
          <a:ext cx="1400175" cy="236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9525</xdr:rowOff>
    </xdr:from>
    <xdr:to>
      <xdr:col>11</xdr:col>
      <xdr:colOff>19050</xdr:colOff>
      <xdr:row>105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51D09BB-8314-4CFF-B7F7-8C2685E52672}"/>
            </a:ext>
          </a:extLst>
        </xdr:cNvPr>
        <xdr:cNvCxnSpPr/>
      </xdr:nvCxnSpPr>
      <xdr:spPr>
        <a:xfrm>
          <a:off x="8858250" y="9525"/>
          <a:ext cx="0" cy="1747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0</xdr:row>
      <xdr:rowOff>0</xdr:rowOff>
    </xdr:from>
    <xdr:to>
      <xdr:col>20</xdr:col>
      <xdr:colOff>28575</xdr:colOff>
      <xdr:row>113</xdr:row>
      <xdr:rowOff>12700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FB2B172-E75F-4DF3-9EAA-20733DAC176A}"/>
            </a:ext>
          </a:extLst>
        </xdr:cNvPr>
        <xdr:cNvCxnSpPr/>
      </xdr:nvCxnSpPr>
      <xdr:spPr>
        <a:xfrm>
          <a:off x="15154275" y="0"/>
          <a:ext cx="0" cy="18669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hoezone.com/Investors/Investors/Financial-Information/Results-and-Present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Downloads/half-year-announcment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05F9-31A5-4631-B759-A56425A72F06}">
  <dimension ref="A2:Q39"/>
  <sheetViews>
    <sheetView workbookViewId="0">
      <selection activeCell="G30" sqref="G30"/>
    </sheetView>
  </sheetViews>
  <sheetFormatPr baseColWidth="10" defaultColWidth="9.1640625" defaultRowHeight="13" x14ac:dyDescent="0.15"/>
  <cols>
    <col min="1" max="16384" width="9.1640625" style="1"/>
  </cols>
  <sheetData>
    <row r="2" spans="1:17" x14ac:dyDescent="0.15">
      <c r="B2" s="2" t="s">
        <v>0</v>
      </c>
    </row>
    <row r="3" spans="1:17" x14ac:dyDescent="0.15">
      <c r="B3" s="2" t="s">
        <v>1</v>
      </c>
    </row>
    <row r="5" spans="1:17" x14ac:dyDescent="0.15">
      <c r="B5" s="48" t="s">
        <v>2</v>
      </c>
      <c r="C5" s="49"/>
      <c r="D5" s="50"/>
      <c r="G5" s="48" t="s">
        <v>27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x14ac:dyDescent="0.15">
      <c r="B6" s="3" t="s">
        <v>3</v>
      </c>
      <c r="C6" s="1">
        <v>2.4049999999999998</v>
      </c>
      <c r="D6" s="18"/>
      <c r="G6" s="16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15">
      <c r="B7" s="3" t="s">
        <v>4</v>
      </c>
      <c r="C7" s="53">
        <f>'Financial Model'!K18</f>
        <v>50</v>
      </c>
      <c r="D7" s="18" t="str">
        <f>$C$29</f>
        <v>H122</v>
      </c>
      <c r="G7" s="16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15">
      <c r="B8" s="3" t="s">
        <v>5</v>
      </c>
      <c r="C8" s="5">
        <f>C6*C7</f>
        <v>120.24999999999999</v>
      </c>
      <c r="D8" s="18"/>
      <c r="G8" s="16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15">
      <c r="B9" s="3" t="s">
        <v>6</v>
      </c>
      <c r="C9" s="5">
        <f>'Financial Model'!K68</f>
        <v>13.872</v>
      </c>
      <c r="D9" s="18" t="str">
        <f>$C$29</f>
        <v>H122</v>
      </c>
      <c r="G9" s="16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15">
      <c r="B10" s="3" t="s">
        <v>7</v>
      </c>
      <c r="C10" s="5">
        <f>'Financial Model'!K69</f>
        <v>0</v>
      </c>
      <c r="D10" s="18" t="str">
        <f t="shared" ref="D10:D11" si="0">$C$29</f>
        <v>H122</v>
      </c>
      <c r="G10" s="43">
        <v>44682</v>
      </c>
      <c r="H10" s="9" t="s">
        <v>116</v>
      </c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15">
      <c r="B11" s="3" t="s">
        <v>8</v>
      </c>
      <c r="C11" s="5">
        <f>C9-C10</f>
        <v>13.872</v>
      </c>
      <c r="D11" s="18" t="str">
        <f t="shared" si="0"/>
        <v>H122</v>
      </c>
      <c r="G11" s="16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15">
      <c r="B12" s="4" t="s">
        <v>9</v>
      </c>
      <c r="C12" s="6">
        <f>C8-C11</f>
        <v>106.37799999999999</v>
      </c>
      <c r="D12" s="19"/>
      <c r="G12" s="16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15">
      <c r="G13" s="16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15">
      <c r="G14" s="16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15">
      <c r="B15" s="48" t="s">
        <v>10</v>
      </c>
      <c r="C15" s="49"/>
      <c r="D15" s="50"/>
      <c r="G15" s="16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15">
      <c r="A16" s="7"/>
      <c r="B16" s="8" t="s">
        <v>11</v>
      </c>
      <c r="C16" s="44" t="s">
        <v>23</v>
      </c>
      <c r="D16" s="45"/>
      <c r="G16" s="16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15">
      <c r="B17" s="8" t="s">
        <v>12</v>
      </c>
      <c r="C17" s="44" t="s">
        <v>24</v>
      </c>
      <c r="D17" s="45"/>
      <c r="G17" s="16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15">
      <c r="A18" s="15" t="s">
        <v>14</v>
      </c>
      <c r="B18" s="8" t="s">
        <v>13</v>
      </c>
      <c r="C18" s="44" t="s">
        <v>22</v>
      </c>
      <c r="D18" s="45"/>
      <c r="G18" s="16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15">
      <c r="B19" s="11" t="s">
        <v>25</v>
      </c>
      <c r="C19" s="46" t="s">
        <v>26</v>
      </c>
      <c r="D19" s="47"/>
      <c r="G19" s="16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15">
      <c r="G20" s="16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15">
      <c r="G21" s="16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15">
      <c r="B22" s="48" t="s">
        <v>15</v>
      </c>
      <c r="C22" s="49"/>
      <c r="D22" s="50"/>
      <c r="G22" s="16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15">
      <c r="B23" s="16" t="s">
        <v>16</v>
      </c>
      <c r="C23" s="44" t="s">
        <v>21</v>
      </c>
      <c r="D23" s="45"/>
      <c r="G23" s="16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15">
      <c r="B24" s="16" t="s">
        <v>17</v>
      </c>
      <c r="C24" s="44">
        <v>1917</v>
      </c>
      <c r="D24" s="45"/>
      <c r="G24" s="16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15">
      <c r="B25" s="16" t="s">
        <v>110</v>
      </c>
      <c r="C25" s="44">
        <f>'Financial Model'!K33</f>
        <v>388</v>
      </c>
      <c r="D25" s="45"/>
      <c r="G25" s="16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15">
      <c r="B26" s="16"/>
      <c r="C26" s="44"/>
      <c r="D26" s="45"/>
      <c r="G26" s="16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15">
      <c r="B27" s="16" t="s">
        <v>18</v>
      </c>
      <c r="C27" s="54">
        <f>'Financial Model'!K43</f>
        <v>31.096</v>
      </c>
      <c r="D27" s="55"/>
      <c r="G27" s="16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15">
      <c r="B28" s="16"/>
      <c r="C28" s="44"/>
      <c r="D28" s="45"/>
      <c r="G28" s="16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15">
      <c r="B29" s="16" t="s">
        <v>19</v>
      </c>
      <c r="C29" s="14" t="s">
        <v>44</v>
      </c>
      <c r="D29" s="29">
        <v>45063</v>
      </c>
      <c r="G29" s="16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x14ac:dyDescent="0.15">
      <c r="B30" s="17" t="s">
        <v>20</v>
      </c>
      <c r="C30" s="51" t="s">
        <v>28</v>
      </c>
      <c r="D30" s="52"/>
      <c r="G30" s="17"/>
      <c r="H30" s="12"/>
      <c r="I30" s="12"/>
      <c r="J30" s="12"/>
      <c r="K30" s="12"/>
      <c r="L30" s="12"/>
      <c r="M30" s="12"/>
      <c r="N30" s="12"/>
      <c r="O30" s="12"/>
      <c r="P30" s="12"/>
      <c r="Q30" s="13"/>
    </row>
    <row r="33" spans="2:4" x14ac:dyDescent="0.15">
      <c r="B33" s="48" t="s">
        <v>29</v>
      </c>
      <c r="C33" s="49"/>
      <c r="D33" s="50"/>
    </row>
    <row r="34" spans="2:4" x14ac:dyDescent="0.15">
      <c r="B34" s="16" t="s">
        <v>30</v>
      </c>
      <c r="C34" s="62">
        <f>C6/'Financial Model'!K66</f>
        <v>4.0893015030946032</v>
      </c>
      <c r="D34" s="63"/>
    </row>
    <row r="35" spans="2:4" x14ac:dyDescent="0.15">
      <c r="B35" s="16" t="s">
        <v>32</v>
      </c>
      <c r="C35" s="62">
        <f>C8/SUM('Financial Model'!J6:K6)</f>
        <v>0.80937733474231166</v>
      </c>
      <c r="D35" s="63"/>
    </row>
    <row r="36" spans="2:4" x14ac:dyDescent="0.15">
      <c r="B36" s="16" t="s">
        <v>33</v>
      </c>
      <c r="C36" s="44"/>
      <c r="D36" s="45"/>
    </row>
    <row r="37" spans="2:4" x14ac:dyDescent="0.15">
      <c r="B37" s="16" t="s">
        <v>31</v>
      </c>
      <c r="C37" s="62">
        <f>C6/SUM('Financial Model'!J17:K17)</f>
        <v>10.025846256461564</v>
      </c>
      <c r="D37" s="63"/>
    </row>
    <row r="38" spans="2:4" x14ac:dyDescent="0.15">
      <c r="B38" s="16" t="s">
        <v>34</v>
      </c>
      <c r="C38" s="44"/>
      <c r="D38" s="45"/>
    </row>
    <row r="39" spans="2:4" x14ac:dyDescent="0.15">
      <c r="B39" s="17" t="s">
        <v>35</v>
      </c>
      <c r="C39" s="46"/>
      <c r="D39" s="47"/>
    </row>
  </sheetData>
  <mergeCells count="22">
    <mergeCell ref="C16:D16"/>
    <mergeCell ref="C23:D23"/>
    <mergeCell ref="C24:D24"/>
    <mergeCell ref="C18:D18"/>
    <mergeCell ref="C17:D17"/>
    <mergeCell ref="C19:D19"/>
    <mergeCell ref="C37:D37"/>
    <mergeCell ref="C38:D38"/>
    <mergeCell ref="C39:D39"/>
    <mergeCell ref="G5:Q5"/>
    <mergeCell ref="B33:D33"/>
    <mergeCell ref="C34:D34"/>
    <mergeCell ref="C35:D35"/>
    <mergeCell ref="C36:D36"/>
    <mergeCell ref="C25:D25"/>
    <mergeCell ref="C26:D26"/>
    <mergeCell ref="C27:D27"/>
    <mergeCell ref="C28:D28"/>
    <mergeCell ref="C30:D30"/>
    <mergeCell ref="B5:D5"/>
    <mergeCell ref="B15:D15"/>
    <mergeCell ref="B22:D22"/>
  </mergeCells>
  <hyperlinks>
    <hyperlink ref="C30:D30" r:id="rId1" display="Link" xr:uid="{3D6962CA-1526-4C39-93B9-F813F12D88D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91AC-57CA-49E9-B45F-00CA8473774D}">
  <dimension ref="B1:AE85"/>
  <sheetViews>
    <sheetView tabSelected="1" workbookViewId="0">
      <pane xSplit="2" ySplit="3" topLeftCell="C4" activePane="bottomRight" state="frozen"/>
      <selection activeCell="E45" sqref="E45"/>
      <selection pane="topRight" activeCell="E45" sqref="E45"/>
      <selection pane="bottomLeft" activeCell="E45" sqref="E45"/>
      <selection pane="bottomRight" activeCell="H37" sqref="H37"/>
    </sheetView>
  </sheetViews>
  <sheetFormatPr baseColWidth="10" defaultColWidth="9.1640625" defaultRowHeight="13" x14ac:dyDescent="0.15"/>
  <cols>
    <col min="1" max="1" width="4.33203125" style="1" customWidth="1"/>
    <col min="2" max="2" width="29.1640625" style="1" bestFit="1" customWidth="1"/>
    <col min="3" max="3" width="9.1640625" style="1"/>
    <col min="4" max="4" width="9.1640625" style="25"/>
    <col min="5" max="5" width="9.1640625" style="1"/>
    <col min="6" max="6" width="9.1640625" style="25"/>
    <col min="7" max="7" width="9.1640625" style="1"/>
    <col min="8" max="8" width="9.1640625" style="25"/>
    <col min="9" max="9" width="9.1640625" style="1"/>
    <col min="10" max="10" width="9.1640625" style="25"/>
    <col min="11" max="11" width="9.1640625" style="1"/>
    <col min="12" max="12" width="9.1640625" style="25"/>
    <col min="13" max="13" width="9.1640625" style="1"/>
    <col min="14" max="14" width="9.1640625" style="25"/>
    <col min="15" max="20" width="9.1640625" style="1"/>
    <col min="21" max="21" width="9.1640625" style="74"/>
    <col min="22" max="16384" width="9.1640625" style="1"/>
  </cols>
  <sheetData>
    <row r="1" spans="2:31" s="20" customFormat="1" x14ac:dyDescent="0.15">
      <c r="C1" s="20" t="s">
        <v>36</v>
      </c>
      <c r="D1" s="23" t="s">
        <v>37</v>
      </c>
      <c r="E1" s="20" t="s">
        <v>38</v>
      </c>
      <c r="F1" s="23" t="s">
        <v>39</v>
      </c>
      <c r="G1" s="20" t="s">
        <v>40</v>
      </c>
      <c r="H1" s="23" t="s">
        <v>41</v>
      </c>
      <c r="I1" s="20" t="s">
        <v>42</v>
      </c>
      <c r="J1" s="23" t="s">
        <v>43</v>
      </c>
      <c r="K1" s="26" t="s">
        <v>44</v>
      </c>
      <c r="L1" s="23" t="s">
        <v>45</v>
      </c>
      <c r="M1" s="20" t="s">
        <v>46</v>
      </c>
      <c r="N1" s="23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75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</row>
    <row r="2" spans="2:31" s="22" customFormat="1" x14ac:dyDescent="0.15">
      <c r="B2" s="21"/>
      <c r="D2" s="24"/>
      <c r="F2" s="24"/>
      <c r="H2" s="64">
        <f>S2</f>
        <v>44107</v>
      </c>
      <c r="I2" s="27">
        <v>44289</v>
      </c>
      <c r="J2" s="64">
        <f>T2</f>
        <v>44471</v>
      </c>
      <c r="K2" s="27">
        <v>44653</v>
      </c>
      <c r="L2" s="24"/>
      <c r="N2" s="24"/>
      <c r="S2" s="27">
        <v>44107</v>
      </c>
      <c r="T2" s="27">
        <v>44471</v>
      </c>
      <c r="U2" s="76" t="s">
        <v>118</v>
      </c>
    </row>
    <row r="3" spans="2:31" s="22" customFormat="1" x14ac:dyDescent="0.15">
      <c r="B3" s="21"/>
      <c r="D3" s="24"/>
      <c r="F3" s="24"/>
      <c r="H3" s="24"/>
      <c r="J3" s="66">
        <f>T3</f>
        <v>11324</v>
      </c>
      <c r="K3" s="28">
        <v>45063</v>
      </c>
      <c r="L3" s="24"/>
      <c r="N3" s="24"/>
      <c r="T3" s="65">
        <v>11324</v>
      </c>
      <c r="U3" s="76"/>
    </row>
    <row r="4" spans="2:31" s="39" customFormat="1" x14ac:dyDescent="0.15">
      <c r="B4" s="39" t="s">
        <v>107</v>
      </c>
      <c r="D4" s="40"/>
      <c r="F4" s="40"/>
      <c r="H4" s="67"/>
      <c r="I4" s="39">
        <v>22.8</v>
      </c>
      <c r="J4" s="67">
        <f>T4-I4</f>
        <v>65.8</v>
      </c>
      <c r="K4" s="39">
        <v>58.1</v>
      </c>
      <c r="L4" s="40"/>
      <c r="N4" s="40"/>
      <c r="S4" s="39">
        <v>103</v>
      </c>
      <c r="T4" s="39">
        <v>88.6</v>
      </c>
      <c r="U4" s="73"/>
    </row>
    <row r="5" spans="2:31" s="39" customFormat="1" x14ac:dyDescent="0.15">
      <c r="B5" s="39" t="s">
        <v>108</v>
      </c>
      <c r="D5" s="40"/>
      <c r="F5" s="40"/>
      <c r="H5" s="67"/>
      <c r="I5" s="39">
        <v>17.600000000000001</v>
      </c>
      <c r="J5" s="67">
        <f>T5-I5</f>
        <v>12.899999999999999</v>
      </c>
      <c r="K5" s="39">
        <v>11.8</v>
      </c>
      <c r="L5" s="40"/>
      <c r="N5" s="40"/>
      <c r="S5" s="39">
        <v>19.3</v>
      </c>
      <c r="T5" s="39">
        <v>30.5</v>
      </c>
      <c r="U5" s="73"/>
    </row>
    <row r="6" spans="2:31" s="2" customFormat="1" x14ac:dyDescent="0.15">
      <c r="B6" s="2" t="s">
        <v>63</v>
      </c>
      <c r="D6" s="30"/>
      <c r="F6" s="30"/>
      <c r="H6" s="30"/>
      <c r="I6" s="31">
        <v>40.435000000000002</v>
      </c>
      <c r="J6" s="69">
        <f>T6-I6</f>
        <v>78.706999999999994</v>
      </c>
      <c r="K6" s="31">
        <v>69.864000000000004</v>
      </c>
      <c r="L6" s="72">
        <f>U6-K6</f>
        <v>63.575040000000001</v>
      </c>
      <c r="N6" s="30"/>
      <c r="S6" s="31">
        <v>122.568</v>
      </c>
      <c r="T6" s="31">
        <v>119.142</v>
      </c>
      <c r="U6" s="77">
        <f>T6*(1+U21)</f>
        <v>133.43904000000001</v>
      </c>
    </row>
    <row r="7" spans="2:31" x14ac:dyDescent="0.15">
      <c r="B7" s="1" t="s">
        <v>64</v>
      </c>
      <c r="C7" s="53"/>
      <c r="I7" s="5">
        <v>32.688000000000002</v>
      </c>
      <c r="J7" s="67">
        <f>T7-I7</f>
        <v>53.978999999999999</v>
      </c>
      <c r="K7" s="5">
        <v>56.247</v>
      </c>
      <c r="S7" s="5">
        <v>117.33199999999999</v>
      </c>
      <c r="T7" s="5">
        <v>86.667000000000002</v>
      </c>
    </row>
    <row r="8" spans="2:31" s="2" customFormat="1" x14ac:dyDescent="0.15">
      <c r="B8" s="2" t="s">
        <v>65</v>
      </c>
      <c r="D8" s="30"/>
      <c r="F8" s="30"/>
      <c r="H8" s="30"/>
      <c r="I8" s="31">
        <f>I6-I7</f>
        <v>7.7469999999999999</v>
      </c>
      <c r="J8" s="69">
        <f>J6-J7</f>
        <v>24.727999999999994</v>
      </c>
      <c r="K8" s="31">
        <f>K6-K7</f>
        <v>13.617000000000004</v>
      </c>
      <c r="L8" s="30"/>
      <c r="N8" s="30"/>
      <c r="S8" s="31">
        <f t="shared" ref="S8" si="0">S6-S7</f>
        <v>5.2360000000000042</v>
      </c>
      <c r="T8" s="31">
        <f>T6-T7</f>
        <v>32.474999999999994</v>
      </c>
      <c r="U8" s="78"/>
    </row>
    <row r="9" spans="2:31" x14ac:dyDescent="0.15">
      <c r="B9" s="1" t="s">
        <v>66</v>
      </c>
      <c r="I9" s="5">
        <v>7.9059999999999997</v>
      </c>
      <c r="J9" s="67">
        <f t="shared" ref="J9:J10" si="1">T9-I9</f>
        <v>9.0560000000000009</v>
      </c>
      <c r="K9" s="5">
        <v>7.508</v>
      </c>
      <c r="S9" s="5">
        <v>13.928000000000001</v>
      </c>
      <c r="T9" s="5">
        <v>16.962</v>
      </c>
    </row>
    <row r="10" spans="2:31" x14ac:dyDescent="0.15">
      <c r="B10" s="1" t="s">
        <v>67</v>
      </c>
      <c r="I10" s="5">
        <v>1.593</v>
      </c>
      <c r="J10" s="67">
        <f t="shared" si="1"/>
        <v>2.9059999999999997</v>
      </c>
      <c r="K10" s="5">
        <v>2.448</v>
      </c>
      <c r="S10" s="5">
        <v>4.0179999999999998</v>
      </c>
      <c r="T10" s="5">
        <v>4.4989999999999997</v>
      </c>
    </row>
    <row r="11" spans="2:31" s="2" customFormat="1" x14ac:dyDescent="0.15">
      <c r="B11" s="2" t="s">
        <v>68</v>
      </c>
      <c r="D11" s="30"/>
      <c r="F11" s="30"/>
      <c r="H11" s="30"/>
      <c r="I11" s="31">
        <f>+I8-I9-I10</f>
        <v>-1.7519999999999998</v>
      </c>
      <c r="J11" s="69">
        <f>+J8-J9-J10</f>
        <v>12.765999999999995</v>
      </c>
      <c r="K11" s="31">
        <f>+K8-K9-K10</f>
        <v>3.6610000000000045</v>
      </c>
      <c r="L11" s="30"/>
      <c r="N11" s="30"/>
      <c r="S11" s="31">
        <f t="shared" ref="S11:T11" si="2">+S8-S9-S10</f>
        <v>-12.709999999999997</v>
      </c>
      <c r="T11" s="31">
        <f t="shared" si="2"/>
        <v>11.013999999999996</v>
      </c>
      <c r="U11" s="78"/>
    </row>
    <row r="12" spans="2:31" x14ac:dyDescent="0.15">
      <c r="B12" s="1" t="s">
        <v>69</v>
      </c>
      <c r="I12" s="5">
        <v>0</v>
      </c>
      <c r="J12" s="67">
        <f t="shared" ref="J12:J13" si="3">T12-I12</f>
        <v>0</v>
      </c>
      <c r="K12" s="5">
        <v>0</v>
      </c>
      <c r="S12" s="5">
        <v>0.01</v>
      </c>
      <c r="T12" s="5">
        <v>0</v>
      </c>
    </row>
    <row r="13" spans="2:31" x14ac:dyDescent="0.15">
      <c r="B13" s="1" t="s">
        <v>70</v>
      </c>
      <c r="I13" s="5">
        <v>0.86</v>
      </c>
      <c r="J13" s="67">
        <f t="shared" si="3"/>
        <v>0.69800000000000006</v>
      </c>
      <c r="K13" s="5">
        <v>0.59899999999999998</v>
      </c>
      <c r="S13" s="5">
        <v>1.901</v>
      </c>
      <c r="T13" s="5">
        <v>1.5580000000000001</v>
      </c>
    </row>
    <row r="14" spans="2:31" x14ac:dyDescent="0.15">
      <c r="B14" s="1" t="s">
        <v>71</v>
      </c>
      <c r="I14" s="5">
        <f>I11+I12-I13</f>
        <v>-2.6119999999999997</v>
      </c>
      <c r="J14" s="71">
        <f>J11+J12-J13</f>
        <v>12.067999999999994</v>
      </c>
      <c r="K14" s="5">
        <f>K11+K12-K13</f>
        <v>3.0620000000000047</v>
      </c>
      <c r="S14" s="5">
        <f t="shared" ref="S14:T14" si="4">S11+S12-S13</f>
        <v>-14.600999999999997</v>
      </c>
      <c r="T14" s="5">
        <f t="shared" si="4"/>
        <v>9.455999999999996</v>
      </c>
    </row>
    <row r="15" spans="2:31" x14ac:dyDescent="0.15">
      <c r="B15" s="1" t="s">
        <v>72</v>
      </c>
      <c r="I15" s="5">
        <v>-0.497</v>
      </c>
      <c r="J15" s="67">
        <f>T15-I15</f>
        <v>2.9390000000000001</v>
      </c>
      <c r="K15" s="5">
        <v>0.19700000000000001</v>
      </c>
      <c r="S15" s="5">
        <v>-2.698</v>
      </c>
      <c r="T15" s="5">
        <v>2.4420000000000002</v>
      </c>
    </row>
    <row r="16" spans="2:31" s="2" customFormat="1" x14ac:dyDescent="0.15">
      <c r="B16" s="2" t="s">
        <v>73</v>
      </c>
      <c r="D16" s="30"/>
      <c r="F16" s="30"/>
      <c r="H16" s="30"/>
      <c r="I16" s="31">
        <f>I14-I15</f>
        <v>-2.1149999999999998</v>
      </c>
      <c r="J16" s="69">
        <f>J14-J15</f>
        <v>9.1289999999999942</v>
      </c>
      <c r="K16" s="31">
        <f>K14-K15</f>
        <v>2.8650000000000047</v>
      </c>
      <c r="L16" s="30"/>
      <c r="N16" s="30"/>
      <c r="S16" s="31">
        <f t="shared" ref="S16:T16" si="5">S14-S15</f>
        <v>-11.902999999999997</v>
      </c>
      <c r="T16" s="31">
        <f t="shared" si="5"/>
        <v>7.0139999999999958</v>
      </c>
      <c r="U16" s="78"/>
    </row>
    <row r="17" spans="2:21" x14ac:dyDescent="0.15">
      <c r="B17" s="1" t="s">
        <v>74</v>
      </c>
      <c r="I17" s="56">
        <f>I16/I18</f>
        <v>-4.2299999999999997E-2</v>
      </c>
      <c r="J17" s="57">
        <f>J16/J18</f>
        <v>0.18257999999999988</v>
      </c>
      <c r="K17" s="56">
        <f>K16/K18</f>
        <v>5.7300000000000094E-2</v>
      </c>
      <c r="S17" s="56">
        <f t="shared" ref="S17:T17" si="6">S16/S18</f>
        <v>-0.23805999999999994</v>
      </c>
      <c r="T17" s="56">
        <f t="shared" si="6"/>
        <v>0.1402799999999999</v>
      </c>
    </row>
    <row r="18" spans="2:21" x14ac:dyDescent="0.15">
      <c r="B18" s="1" t="s">
        <v>4</v>
      </c>
      <c r="I18" s="53">
        <v>50</v>
      </c>
      <c r="J18" s="70">
        <f>T18</f>
        <v>50</v>
      </c>
      <c r="K18" s="53">
        <v>50</v>
      </c>
      <c r="S18" s="53">
        <v>50</v>
      </c>
      <c r="T18" s="53">
        <v>50</v>
      </c>
    </row>
    <row r="21" spans="2:21" s="2" customFormat="1" x14ac:dyDescent="0.15">
      <c r="B21" s="2" t="s">
        <v>75</v>
      </c>
      <c r="D21" s="30"/>
      <c r="F21" s="30"/>
      <c r="H21" s="30"/>
      <c r="J21" s="30"/>
      <c r="K21" s="32">
        <f>K6/I6-1</f>
        <v>0.72781006553728211</v>
      </c>
      <c r="L21" s="30"/>
      <c r="N21" s="30"/>
      <c r="T21" s="32">
        <f>T6/S6-1</f>
        <v>-2.7951830820442503E-2</v>
      </c>
      <c r="U21" s="79">
        <v>0.12</v>
      </c>
    </row>
    <row r="22" spans="2:21" s="36" customFormat="1" x14ac:dyDescent="0.15">
      <c r="B22" s="39" t="s">
        <v>114</v>
      </c>
      <c r="D22" s="37"/>
      <c r="F22" s="37"/>
      <c r="H22" s="37"/>
      <c r="J22" s="37"/>
      <c r="K22" s="42">
        <f>K4/I4-1</f>
        <v>1.5482456140350878</v>
      </c>
      <c r="L22" s="37"/>
      <c r="N22" s="37"/>
      <c r="T22" s="42">
        <f>T4/S4-1</f>
        <v>-0.13980582524271845</v>
      </c>
      <c r="U22" s="74"/>
    </row>
    <row r="23" spans="2:21" s="36" customFormat="1" x14ac:dyDescent="0.15">
      <c r="B23" s="39" t="s">
        <v>115</v>
      </c>
      <c r="D23" s="37"/>
      <c r="F23" s="37"/>
      <c r="H23" s="37"/>
      <c r="J23" s="37"/>
      <c r="K23" s="42">
        <f>K5/I5-1</f>
        <v>-0.32954545454545459</v>
      </c>
      <c r="L23" s="37"/>
      <c r="N23" s="37"/>
      <c r="T23" s="42">
        <f>T5/S5-1</f>
        <v>0.58031088082901539</v>
      </c>
      <c r="U23" s="74"/>
    </row>
    <row r="24" spans="2:21" x14ac:dyDescent="0.15">
      <c r="B24" s="1" t="s">
        <v>76</v>
      </c>
      <c r="J24" s="34">
        <f t="shared" ref="J24" si="7">J6/I6-1</f>
        <v>0.94650673921107931</v>
      </c>
      <c r="K24" s="33">
        <f>K6/J6-1</f>
        <v>-0.11235341202180227</v>
      </c>
      <c r="Q24" s="15" t="s">
        <v>117</v>
      </c>
      <c r="R24" s="15" t="s">
        <v>117</v>
      </c>
      <c r="S24" s="15" t="s">
        <v>117</v>
      </c>
      <c r="T24" s="15" t="s">
        <v>117</v>
      </c>
    </row>
    <row r="26" spans="2:21" s="33" customFormat="1" x14ac:dyDescent="0.15">
      <c r="B26" s="33" t="s">
        <v>77</v>
      </c>
      <c r="D26" s="34"/>
      <c r="F26" s="34"/>
      <c r="H26" s="34"/>
      <c r="I26" s="33">
        <f>I8/I6</f>
        <v>0.19159144305675774</v>
      </c>
      <c r="J26" s="34">
        <f>J8/J6</f>
        <v>0.31417790031382209</v>
      </c>
      <c r="K26" s="33">
        <f>K8/K6</f>
        <v>0.19490724836825837</v>
      </c>
      <c r="L26" s="34"/>
      <c r="N26" s="34"/>
      <c r="S26" s="33">
        <f>S8/S6</f>
        <v>4.2719143659030123E-2</v>
      </c>
      <c r="T26" s="33">
        <f>T8/T6</f>
        <v>0.27257390340937698</v>
      </c>
      <c r="U26" s="80"/>
    </row>
    <row r="27" spans="2:21" s="33" customFormat="1" x14ac:dyDescent="0.15">
      <c r="B27" s="33" t="s">
        <v>78</v>
      </c>
      <c r="D27" s="34"/>
      <c r="F27" s="34"/>
      <c r="H27" s="34"/>
      <c r="I27" s="33">
        <f>I11/I6</f>
        <v>-4.3328799307530599E-2</v>
      </c>
      <c r="J27" s="34">
        <f>J11/J6</f>
        <v>0.16219650094654853</v>
      </c>
      <c r="K27" s="33">
        <f>K11/K6</f>
        <v>5.2401809229359962E-2</v>
      </c>
      <c r="L27" s="34"/>
      <c r="N27" s="34"/>
      <c r="S27" s="33">
        <f>S11/S6</f>
        <v>-0.10369753932510931</v>
      </c>
      <c r="T27" s="33">
        <f>T11/T6</f>
        <v>9.2444310150912326E-2</v>
      </c>
      <c r="U27" s="80"/>
    </row>
    <row r="28" spans="2:21" s="33" customFormat="1" x14ac:dyDescent="0.15">
      <c r="B28" s="33" t="s">
        <v>79</v>
      </c>
      <c r="D28" s="34"/>
      <c r="F28" s="34"/>
      <c r="H28" s="34"/>
      <c r="I28" s="33">
        <f>I16/I6</f>
        <v>-5.2306170396933339E-2</v>
      </c>
      <c r="J28" s="34">
        <f>J16/J6</f>
        <v>0.11598714218557428</v>
      </c>
      <c r="K28" s="33">
        <f>K16/K6</f>
        <v>4.1008244589488214E-2</v>
      </c>
      <c r="L28" s="34"/>
      <c r="N28" s="34"/>
      <c r="S28" s="33">
        <f>S16/S6</f>
        <v>-9.7113439070556723E-2</v>
      </c>
      <c r="T28" s="33">
        <f>T16/T6</f>
        <v>5.8870927128972114E-2</v>
      </c>
      <c r="U28" s="80"/>
    </row>
    <row r="29" spans="2:21" s="33" customFormat="1" x14ac:dyDescent="0.15">
      <c r="B29" s="33" t="s">
        <v>80</v>
      </c>
      <c r="D29" s="34"/>
      <c r="F29" s="34"/>
      <c r="H29" s="34"/>
      <c r="I29" s="33">
        <f>I15/I14</f>
        <v>0.1902756508422665</v>
      </c>
      <c r="J29" s="34">
        <f>J15/J14</f>
        <v>0.24353662578720595</v>
      </c>
      <c r="K29" s="33">
        <f>K15/K14</f>
        <v>6.4337034617896707E-2</v>
      </c>
      <c r="L29" s="34"/>
      <c r="N29" s="34"/>
      <c r="S29" s="33">
        <f>S15/S14</f>
        <v>0.18478186425587292</v>
      </c>
      <c r="T29" s="33">
        <f>T15/T14</f>
        <v>0.25824873096446715</v>
      </c>
      <c r="U29" s="80"/>
    </row>
    <row r="30" spans="2:21" s="33" customFormat="1" x14ac:dyDescent="0.15">
      <c r="D30" s="34"/>
      <c r="F30" s="34"/>
      <c r="H30" s="34"/>
      <c r="J30" s="34"/>
      <c r="L30" s="34"/>
      <c r="N30" s="34"/>
      <c r="U30" s="80"/>
    </row>
    <row r="31" spans="2:21" s="33" customFormat="1" x14ac:dyDescent="0.15">
      <c r="D31" s="34"/>
      <c r="F31" s="34"/>
      <c r="H31" s="34"/>
      <c r="J31" s="34"/>
      <c r="L31" s="34"/>
      <c r="N31" s="34"/>
      <c r="U31" s="80"/>
    </row>
    <row r="32" spans="2:21" s="33" customFormat="1" x14ac:dyDescent="0.15">
      <c r="B32" s="41" t="s">
        <v>109</v>
      </c>
      <c r="D32" s="34"/>
      <c r="F32" s="34"/>
      <c r="H32" s="34"/>
      <c r="J32" s="34"/>
      <c r="L32" s="34"/>
      <c r="N32" s="34"/>
      <c r="U32" s="80"/>
    </row>
    <row r="33" spans="2:21" s="2" customFormat="1" x14ac:dyDescent="0.15">
      <c r="B33" s="2" t="s">
        <v>110</v>
      </c>
      <c r="D33" s="30"/>
      <c r="F33" s="30"/>
      <c r="H33" s="30">
        <f>S33</f>
        <v>460</v>
      </c>
      <c r="J33" s="30">
        <f t="shared" ref="J33" si="8">J34+J35+J36</f>
        <v>410</v>
      </c>
      <c r="K33" s="2">
        <f>K34+K35+K36</f>
        <v>388</v>
      </c>
      <c r="L33" s="30"/>
      <c r="N33" s="30"/>
      <c r="S33" s="2">
        <f>S34+S35+S36</f>
        <v>460</v>
      </c>
      <c r="T33" s="2">
        <f>T34+T35+T36</f>
        <v>410</v>
      </c>
      <c r="U33" s="78"/>
    </row>
    <row r="34" spans="2:21" x14ac:dyDescent="0.15">
      <c r="B34" s="38" t="s">
        <v>111</v>
      </c>
      <c r="H34" s="25">
        <f>S34</f>
        <v>51</v>
      </c>
      <c r="J34" s="25">
        <v>45</v>
      </c>
      <c r="K34" s="1">
        <v>45</v>
      </c>
      <c r="S34" s="1">
        <v>51</v>
      </c>
      <c r="T34" s="1">
        <v>51</v>
      </c>
    </row>
    <row r="35" spans="2:21" x14ac:dyDescent="0.15">
      <c r="B35" s="38" t="s">
        <v>112</v>
      </c>
      <c r="H35" s="25">
        <f>S35</f>
        <v>6</v>
      </c>
      <c r="J35" s="25">
        <v>22</v>
      </c>
      <c r="K35" s="1">
        <v>35</v>
      </c>
      <c r="S35" s="1">
        <v>6</v>
      </c>
      <c r="T35" s="1">
        <v>16</v>
      </c>
    </row>
    <row r="36" spans="2:21" x14ac:dyDescent="0.15">
      <c r="B36" s="38" t="s">
        <v>113</v>
      </c>
      <c r="H36" s="25">
        <f>S36</f>
        <v>403</v>
      </c>
      <c r="J36" s="25">
        <v>343</v>
      </c>
      <c r="K36" s="1">
        <v>308</v>
      </c>
      <c r="S36" s="68">
        <v>403</v>
      </c>
      <c r="T36" s="1">
        <v>343</v>
      </c>
    </row>
    <row r="38" spans="2:21" x14ac:dyDescent="0.15">
      <c r="B38" s="35" t="s">
        <v>81</v>
      </c>
    </row>
    <row r="39" spans="2:21" x14ac:dyDescent="0.15">
      <c r="B39" s="1" t="s">
        <v>82</v>
      </c>
      <c r="H39" s="71">
        <f>S39</f>
        <v>16.966999999999999</v>
      </c>
      <c r="I39" s="5">
        <v>14.733000000000001</v>
      </c>
      <c r="J39" s="71">
        <f>T39</f>
        <v>14.227</v>
      </c>
      <c r="K39" s="5">
        <v>13.555</v>
      </c>
      <c r="S39" s="5">
        <v>16.966999999999999</v>
      </c>
      <c r="T39" s="5">
        <v>14.227</v>
      </c>
    </row>
    <row r="40" spans="2:21" x14ac:dyDescent="0.15">
      <c r="B40" s="1" t="s">
        <v>83</v>
      </c>
      <c r="H40" s="71">
        <f t="shared" ref="H40:H41" si="9">S40</f>
        <v>42.387</v>
      </c>
      <c r="I40" s="5">
        <v>36.463999999999999</v>
      </c>
      <c r="J40" s="71">
        <f t="shared" ref="J40:J41" si="10">T40</f>
        <v>30.884</v>
      </c>
      <c r="K40" s="5">
        <v>28.526</v>
      </c>
      <c r="S40" s="5">
        <v>42.387</v>
      </c>
      <c r="T40" s="5">
        <v>30.884</v>
      </c>
    </row>
    <row r="41" spans="2:21" x14ac:dyDescent="0.15">
      <c r="B41" s="1" t="s">
        <v>84</v>
      </c>
      <c r="H41" s="71">
        <f t="shared" si="9"/>
        <v>5.617</v>
      </c>
      <c r="I41" s="5">
        <v>5.4550000000000001</v>
      </c>
      <c r="J41" s="71">
        <f t="shared" si="10"/>
        <v>3.22</v>
      </c>
      <c r="K41" s="5">
        <v>2.4900000000000002</v>
      </c>
      <c r="S41" s="5">
        <v>5.617</v>
      </c>
      <c r="T41" s="5">
        <v>3.22</v>
      </c>
    </row>
    <row r="42" spans="2:21" x14ac:dyDescent="0.15">
      <c r="B42" s="1" t="s">
        <v>85</v>
      </c>
      <c r="C42" s="1">
        <f t="shared" ref="C42:J42" si="11">SUM(C39:C41)</f>
        <v>0</v>
      </c>
      <c r="D42" s="25">
        <f t="shared" si="11"/>
        <v>0</v>
      </c>
      <c r="E42" s="1">
        <f t="shared" si="11"/>
        <v>0</v>
      </c>
      <c r="F42" s="25">
        <f t="shared" si="11"/>
        <v>0</v>
      </c>
      <c r="G42" s="1">
        <f t="shared" si="11"/>
        <v>0</v>
      </c>
      <c r="H42" s="25">
        <f t="shared" si="11"/>
        <v>64.971000000000004</v>
      </c>
      <c r="I42" s="5">
        <f t="shared" si="11"/>
        <v>56.652000000000001</v>
      </c>
      <c r="J42" s="71">
        <f t="shared" si="11"/>
        <v>48.331000000000003</v>
      </c>
      <c r="K42" s="5">
        <f>SUM(K39:K41)</f>
        <v>44.571000000000005</v>
      </c>
      <c r="Q42" s="1">
        <f>SUM(Q39:Q41)</f>
        <v>0</v>
      </c>
      <c r="R42" s="1">
        <f>SUM(R39:R41)</f>
        <v>0</v>
      </c>
      <c r="S42" s="5">
        <f>SUM(S39:S41)</f>
        <v>64.971000000000004</v>
      </c>
      <c r="T42" s="5">
        <f>SUM(T39:T41)</f>
        <v>48.331000000000003</v>
      </c>
    </row>
    <row r="43" spans="2:21" s="2" customFormat="1" x14ac:dyDescent="0.15">
      <c r="B43" s="2" t="s">
        <v>86</v>
      </c>
      <c r="D43" s="30"/>
      <c r="F43" s="30"/>
      <c r="H43" s="69">
        <f>S43</f>
        <v>26.698</v>
      </c>
      <c r="I43" s="31">
        <v>28.433</v>
      </c>
      <c r="J43" s="69">
        <f>T43</f>
        <v>25.131</v>
      </c>
      <c r="K43" s="31">
        <v>31.096</v>
      </c>
      <c r="L43" s="30"/>
      <c r="N43" s="30"/>
      <c r="S43" s="31">
        <v>26.698</v>
      </c>
      <c r="T43" s="31">
        <v>25.131</v>
      </c>
      <c r="U43" s="78"/>
    </row>
    <row r="44" spans="2:21" x14ac:dyDescent="0.15">
      <c r="B44" s="1" t="s">
        <v>87</v>
      </c>
      <c r="H44" s="71">
        <f t="shared" ref="H44:H45" si="12">S44</f>
        <v>2.7349999999999999</v>
      </c>
      <c r="I44" s="5">
        <v>3.524</v>
      </c>
      <c r="J44" s="71">
        <f t="shared" ref="J44" si="13">T44</f>
        <v>5.4569999999999999</v>
      </c>
      <c r="K44" s="5">
        <v>3.45</v>
      </c>
      <c r="S44" s="5">
        <v>2.7349999999999999</v>
      </c>
      <c r="T44" s="5">
        <v>5.4569999999999999</v>
      </c>
    </row>
    <row r="45" spans="2:21" x14ac:dyDescent="0.15">
      <c r="B45" s="1" t="s">
        <v>88</v>
      </c>
      <c r="H45" s="71">
        <f t="shared" si="12"/>
        <v>0</v>
      </c>
      <c r="I45" s="5">
        <v>0</v>
      </c>
      <c r="J45" s="71">
        <f>T45</f>
        <v>0</v>
      </c>
      <c r="K45" s="5">
        <v>0.45600000000000002</v>
      </c>
      <c r="S45" s="5">
        <v>0</v>
      </c>
      <c r="T45" s="5">
        <v>0</v>
      </c>
    </row>
    <row r="46" spans="2:21" s="2" customFormat="1" x14ac:dyDescent="0.15">
      <c r="B46" s="2" t="s">
        <v>6</v>
      </c>
      <c r="D46" s="30"/>
      <c r="F46" s="30"/>
      <c r="H46" s="69">
        <f>S46</f>
        <v>13.266</v>
      </c>
      <c r="I46" s="31">
        <v>14.473000000000001</v>
      </c>
      <c r="J46" s="69">
        <f>T46</f>
        <v>19.015000000000001</v>
      </c>
      <c r="K46" s="31">
        <v>13.872</v>
      </c>
      <c r="L46" s="30"/>
      <c r="N46" s="30"/>
      <c r="S46" s="31">
        <v>13.266</v>
      </c>
      <c r="T46" s="31">
        <v>19.015000000000001</v>
      </c>
      <c r="U46" s="78"/>
    </row>
    <row r="47" spans="2:21" x14ac:dyDescent="0.15">
      <c r="B47" s="1" t="s">
        <v>89</v>
      </c>
      <c r="C47" s="1">
        <f t="shared" ref="C47:J47" si="14">SUM(C43:C46)+C42</f>
        <v>0</v>
      </c>
      <c r="D47" s="25">
        <f t="shared" si="14"/>
        <v>0</v>
      </c>
      <c r="E47" s="1">
        <f t="shared" si="14"/>
        <v>0</v>
      </c>
      <c r="F47" s="25">
        <f t="shared" si="14"/>
        <v>0</v>
      </c>
      <c r="G47" s="1">
        <f t="shared" si="14"/>
        <v>0</v>
      </c>
      <c r="H47" s="25">
        <f t="shared" si="14"/>
        <v>107.67</v>
      </c>
      <c r="I47" s="5">
        <f t="shared" si="14"/>
        <v>103.08199999999999</v>
      </c>
      <c r="J47" s="71">
        <f t="shared" si="14"/>
        <v>97.933999999999997</v>
      </c>
      <c r="K47" s="5">
        <f>SUM(K43:K46)+K42</f>
        <v>93.445000000000007</v>
      </c>
      <c r="Q47" s="1">
        <f>SUM(Q43:Q46)+Q42</f>
        <v>0</v>
      </c>
      <c r="R47" s="1">
        <f>SUM(R43:R46)+R42</f>
        <v>0</v>
      </c>
      <c r="S47" s="5">
        <f>SUM(S43:S46)+S42</f>
        <v>107.67</v>
      </c>
      <c r="T47" s="5">
        <f>SUM(T43:T46)+T42</f>
        <v>97.933999999999997</v>
      </c>
    </row>
    <row r="48" spans="2:21" x14ac:dyDescent="0.15">
      <c r="I48" s="5"/>
      <c r="J48" s="71"/>
      <c r="K48" s="5"/>
      <c r="S48" s="5"/>
      <c r="T48" s="5"/>
    </row>
    <row r="49" spans="2:21" x14ac:dyDescent="0.15">
      <c r="B49" s="1" t="s">
        <v>90</v>
      </c>
      <c r="H49" s="71">
        <f t="shared" ref="H49:H50" si="15">S49</f>
        <v>17.315999999999999</v>
      </c>
      <c r="I49" s="5">
        <v>12.25</v>
      </c>
      <c r="J49" s="71">
        <f t="shared" ref="J49:J50" si="16">T49</f>
        <v>16.440000000000001</v>
      </c>
      <c r="K49" s="5">
        <v>19.484000000000002</v>
      </c>
      <c r="S49" s="5">
        <v>17.315999999999999</v>
      </c>
      <c r="T49" s="5">
        <v>16.440000000000001</v>
      </c>
    </row>
    <row r="50" spans="2:21" x14ac:dyDescent="0.15">
      <c r="B50" s="1" t="s">
        <v>91</v>
      </c>
      <c r="H50" s="71">
        <f t="shared" si="15"/>
        <v>19.914000000000001</v>
      </c>
      <c r="I50" s="5">
        <v>15.629</v>
      </c>
      <c r="J50" s="71">
        <f t="shared" si="16"/>
        <v>17.035</v>
      </c>
      <c r="K50" s="5">
        <v>14.016</v>
      </c>
      <c r="S50" s="5">
        <v>19.914000000000001</v>
      </c>
      <c r="T50" s="5">
        <v>17.035</v>
      </c>
    </row>
    <row r="51" spans="2:21" s="2" customFormat="1" x14ac:dyDescent="0.15">
      <c r="B51" s="2" t="s">
        <v>92</v>
      </c>
      <c r="D51" s="30"/>
      <c r="F51" s="30"/>
      <c r="H51" s="69">
        <f>S51</f>
        <v>0.105</v>
      </c>
      <c r="I51" s="31">
        <v>2.62</v>
      </c>
      <c r="J51" s="69">
        <f t="shared" ref="J51:J54" si="17">T51</f>
        <v>0.59099999999999997</v>
      </c>
      <c r="K51" s="31">
        <v>0</v>
      </c>
      <c r="L51" s="30"/>
      <c r="N51" s="30"/>
      <c r="S51" s="31">
        <v>0.105</v>
      </c>
      <c r="T51" s="31">
        <v>0.59099999999999997</v>
      </c>
      <c r="U51" s="78"/>
    </row>
    <row r="52" spans="2:21" s="2" customFormat="1" x14ac:dyDescent="0.15">
      <c r="B52" s="2" t="s">
        <v>93</v>
      </c>
      <c r="D52" s="30"/>
      <c r="F52" s="30"/>
      <c r="H52" s="30"/>
      <c r="I52" s="31">
        <v>4.8</v>
      </c>
      <c r="J52" s="69">
        <f t="shared" si="17"/>
        <v>4.4000000000000004</v>
      </c>
      <c r="K52" s="31">
        <v>0</v>
      </c>
      <c r="L52" s="30"/>
      <c r="N52" s="30"/>
      <c r="S52" s="31">
        <v>1.944</v>
      </c>
      <c r="T52" s="31">
        <v>4.4000000000000004</v>
      </c>
      <c r="U52" s="78"/>
    </row>
    <row r="53" spans="2:21" x14ac:dyDescent="0.15">
      <c r="B53" s="1" t="s">
        <v>94</v>
      </c>
      <c r="H53" s="71">
        <f t="shared" ref="H53:H54" si="18">S53</f>
        <v>1.4710000000000001</v>
      </c>
      <c r="I53" s="5">
        <v>1.756</v>
      </c>
      <c r="J53" s="71">
        <f t="shared" si="17"/>
        <v>1.698</v>
      </c>
      <c r="K53" s="5">
        <v>1.7270000000000001</v>
      </c>
      <c r="S53" s="5">
        <v>1.4710000000000001</v>
      </c>
      <c r="T53" s="5">
        <v>1.698</v>
      </c>
    </row>
    <row r="54" spans="2:21" x14ac:dyDescent="0.15">
      <c r="B54" s="1" t="s">
        <v>95</v>
      </c>
      <c r="H54" s="71">
        <f t="shared" si="18"/>
        <v>0.13700000000000001</v>
      </c>
      <c r="I54" s="5">
        <v>0</v>
      </c>
      <c r="J54" s="71">
        <f t="shared" si="17"/>
        <v>0.77300000000000002</v>
      </c>
      <c r="K54" s="5">
        <v>0.317</v>
      </c>
      <c r="S54" s="5">
        <v>0.13700000000000001</v>
      </c>
      <c r="T54" s="5">
        <v>0.77300000000000002</v>
      </c>
    </row>
    <row r="55" spans="2:21" x14ac:dyDescent="0.15">
      <c r="B55" s="1" t="s">
        <v>96</v>
      </c>
      <c r="C55" s="1">
        <f t="shared" ref="C55:J55" si="19">SUM(C49:C54)</f>
        <v>0</v>
      </c>
      <c r="D55" s="25">
        <f t="shared" si="19"/>
        <v>0</v>
      </c>
      <c r="E55" s="1">
        <f t="shared" si="19"/>
        <v>0</v>
      </c>
      <c r="F55" s="25">
        <f t="shared" si="19"/>
        <v>0</v>
      </c>
      <c r="G55" s="1">
        <f t="shared" si="19"/>
        <v>0</v>
      </c>
      <c r="H55" s="25">
        <f t="shared" si="19"/>
        <v>38.942999999999998</v>
      </c>
      <c r="I55" s="5">
        <f t="shared" si="19"/>
        <v>37.055</v>
      </c>
      <c r="J55" s="71">
        <f t="shared" si="19"/>
        <v>40.937000000000005</v>
      </c>
      <c r="K55" s="5">
        <f>SUM(K49:K54)</f>
        <v>35.543999999999997</v>
      </c>
      <c r="Q55" s="1">
        <f>SUM(Q49:Q54)</f>
        <v>0</v>
      </c>
      <c r="R55" s="1">
        <f>SUM(R49:R54)</f>
        <v>0</v>
      </c>
      <c r="S55" s="5">
        <f>SUM(S49:S54)</f>
        <v>40.887</v>
      </c>
      <c r="T55" s="5">
        <f>SUM(T49:T54)</f>
        <v>40.937000000000005</v>
      </c>
    </row>
    <row r="56" spans="2:21" x14ac:dyDescent="0.15">
      <c r="B56" s="1" t="s">
        <v>91</v>
      </c>
      <c r="H56" s="71">
        <f>S56</f>
        <v>37.475000000000001</v>
      </c>
      <c r="I56" s="5">
        <v>40.042000000000002</v>
      </c>
      <c r="J56" s="71">
        <f>T56</f>
        <v>25.942</v>
      </c>
      <c r="K56" s="5">
        <v>23.553999999999998</v>
      </c>
      <c r="S56" s="5">
        <v>37.475000000000001</v>
      </c>
      <c r="T56" s="5">
        <v>25.942</v>
      </c>
    </row>
    <row r="57" spans="2:21" s="2" customFormat="1" x14ac:dyDescent="0.15">
      <c r="B57" s="2" t="s">
        <v>93</v>
      </c>
      <c r="D57" s="30"/>
      <c r="F57" s="30"/>
      <c r="H57" s="69">
        <f>S57</f>
        <v>5.056</v>
      </c>
      <c r="I57" s="31">
        <v>5.6</v>
      </c>
      <c r="J57" s="69">
        <f t="shared" ref="J57:J59" si="20">T57</f>
        <v>0</v>
      </c>
      <c r="K57" s="31">
        <v>0</v>
      </c>
      <c r="L57" s="30"/>
      <c r="N57" s="30"/>
      <c r="S57" s="31">
        <v>5.056</v>
      </c>
      <c r="T57" s="31">
        <v>0</v>
      </c>
      <c r="U57" s="78"/>
    </row>
    <row r="58" spans="2:21" x14ac:dyDescent="0.15">
      <c r="B58" s="1" t="s">
        <v>94</v>
      </c>
      <c r="H58" s="71">
        <f t="shared" ref="H58:H59" si="21">S58</f>
        <v>1.26</v>
      </c>
      <c r="I58" s="5">
        <v>1.4990000000000001</v>
      </c>
      <c r="J58" s="71">
        <f t="shared" si="20"/>
        <v>1.728</v>
      </c>
      <c r="K58" s="5">
        <v>2.0840000000000001</v>
      </c>
      <c r="S58" s="5">
        <v>1.26</v>
      </c>
      <c r="T58" s="5">
        <v>1.728</v>
      </c>
    </row>
    <row r="59" spans="2:21" x14ac:dyDescent="0.15">
      <c r="B59" s="1" t="s">
        <v>97</v>
      </c>
      <c r="H59" s="71">
        <f t="shared" si="21"/>
        <v>10.593999999999999</v>
      </c>
      <c r="I59" s="5">
        <v>7.899</v>
      </c>
      <c r="J59" s="71">
        <f t="shared" si="20"/>
        <v>5.9089999999999998</v>
      </c>
      <c r="K59" s="5">
        <v>2.8570000000000002</v>
      </c>
      <c r="S59" s="5">
        <v>10.593999999999999</v>
      </c>
      <c r="T59" s="5">
        <v>5.9089999999999998</v>
      </c>
    </row>
    <row r="60" spans="2:21" x14ac:dyDescent="0.15">
      <c r="B60" s="1" t="s">
        <v>98</v>
      </c>
      <c r="C60" s="1">
        <f t="shared" ref="C60:J60" si="22">C55+SUM(C56:C59)</f>
        <v>0</v>
      </c>
      <c r="D60" s="25">
        <f t="shared" si="22"/>
        <v>0</v>
      </c>
      <c r="E60" s="1">
        <f t="shared" si="22"/>
        <v>0</v>
      </c>
      <c r="F60" s="25">
        <f t="shared" si="22"/>
        <v>0</v>
      </c>
      <c r="G60" s="1">
        <f t="shared" si="22"/>
        <v>0</v>
      </c>
      <c r="H60" s="25">
        <f t="shared" si="22"/>
        <v>93.328000000000003</v>
      </c>
      <c r="I60" s="5">
        <f t="shared" si="22"/>
        <v>92.094999999999999</v>
      </c>
      <c r="J60" s="71">
        <f t="shared" si="22"/>
        <v>74.516000000000005</v>
      </c>
      <c r="K60" s="5">
        <f>K55+SUM(K56:K59)</f>
        <v>64.038999999999987</v>
      </c>
      <c r="Q60" s="1">
        <f>Q55+SUM(Q56:Q59)</f>
        <v>0</v>
      </c>
      <c r="R60" s="1">
        <f>R55+SUM(R56:R59)</f>
        <v>0</v>
      </c>
      <c r="S60" s="5">
        <f>S55+SUM(S56:S59)</f>
        <v>95.271999999999991</v>
      </c>
      <c r="T60" s="5">
        <f>T55+SUM(T56:T59)</f>
        <v>74.516000000000005</v>
      </c>
    </row>
    <row r="61" spans="2:21" x14ac:dyDescent="0.15">
      <c r="I61" s="5"/>
      <c r="J61" s="71"/>
      <c r="S61" s="5"/>
      <c r="T61" s="5"/>
    </row>
    <row r="62" spans="2:21" x14ac:dyDescent="0.15">
      <c r="B62" s="1" t="s">
        <v>99</v>
      </c>
      <c r="C62" s="1">
        <f t="shared" ref="C62:J62" si="23">C47-C60</f>
        <v>0</v>
      </c>
      <c r="D62" s="25">
        <f t="shared" si="23"/>
        <v>0</v>
      </c>
      <c r="E62" s="1">
        <f t="shared" si="23"/>
        <v>0</v>
      </c>
      <c r="F62" s="25">
        <f t="shared" si="23"/>
        <v>0</v>
      </c>
      <c r="G62" s="1">
        <f t="shared" si="23"/>
        <v>0</v>
      </c>
      <c r="H62" s="25">
        <f t="shared" si="23"/>
        <v>14.341999999999999</v>
      </c>
      <c r="I62" s="5">
        <f t="shared" si="23"/>
        <v>10.986999999999995</v>
      </c>
      <c r="J62" s="71">
        <f t="shared" si="23"/>
        <v>23.417999999999992</v>
      </c>
      <c r="K62" s="53">
        <f>K47-K60</f>
        <v>29.40600000000002</v>
      </c>
      <c r="Q62" s="1">
        <f>Q47-Q60</f>
        <v>0</v>
      </c>
      <c r="R62" s="1">
        <f>R47-R60</f>
        <v>0</v>
      </c>
      <c r="S62" s="5">
        <f>S47-S60</f>
        <v>12.39800000000001</v>
      </c>
      <c r="T62" s="5">
        <f>T47-T60</f>
        <v>23.417999999999992</v>
      </c>
    </row>
    <row r="63" spans="2:21" x14ac:dyDescent="0.15">
      <c r="B63" s="1" t="s">
        <v>100</v>
      </c>
      <c r="C63" s="1">
        <f t="shared" ref="C63:J63" si="24">C62+C60</f>
        <v>0</v>
      </c>
      <c r="D63" s="25">
        <f t="shared" si="24"/>
        <v>0</v>
      </c>
      <c r="E63" s="1">
        <f t="shared" si="24"/>
        <v>0</v>
      </c>
      <c r="F63" s="25">
        <f t="shared" si="24"/>
        <v>0</v>
      </c>
      <c r="G63" s="1">
        <f t="shared" si="24"/>
        <v>0</v>
      </c>
      <c r="H63" s="25">
        <f t="shared" si="24"/>
        <v>107.67</v>
      </c>
      <c r="I63" s="5">
        <f t="shared" si="24"/>
        <v>103.08199999999999</v>
      </c>
      <c r="J63" s="71">
        <f t="shared" si="24"/>
        <v>97.933999999999997</v>
      </c>
      <c r="K63" s="53">
        <f>K62+K60</f>
        <v>93.445000000000007</v>
      </c>
      <c r="Q63" s="1">
        <f>Q62+Q60</f>
        <v>0</v>
      </c>
      <c r="R63" s="1">
        <f>R62+R60</f>
        <v>0</v>
      </c>
      <c r="S63" s="5">
        <f>S62+S60</f>
        <v>107.67</v>
      </c>
      <c r="T63" s="5">
        <f>T62+T60</f>
        <v>97.933999999999997</v>
      </c>
    </row>
    <row r="64" spans="2:21" x14ac:dyDescent="0.15">
      <c r="I64" s="5"/>
      <c r="J64" s="71"/>
      <c r="T64" s="5"/>
    </row>
    <row r="65" spans="2:21" x14ac:dyDescent="0.15">
      <c r="B65" s="1" t="s">
        <v>101</v>
      </c>
      <c r="C65" s="1">
        <f t="shared" ref="C65:J65" si="25">C47-C60</f>
        <v>0</v>
      </c>
      <c r="D65" s="25">
        <f t="shared" si="25"/>
        <v>0</v>
      </c>
      <c r="E65" s="1">
        <f t="shared" si="25"/>
        <v>0</v>
      </c>
      <c r="F65" s="25">
        <f t="shared" si="25"/>
        <v>0</v>
      </c>
      <c r="G65" s="1">
        <f t="shared" si="25"/>
        <v>0</v>
      </c>
      <c r="H65" s="25">
        <f t="shared" si="25"/>
        <v>14.341999999999999</v>
      </c>
      <c r="I65" s="5">
        <f t="shared" si="25"/>
        <v>10.986999999999995</v>
      </c>
      <c r="J65" s="71">
        <f t="shared" si="25"/>
        <v>23.417999999999992</v>
      </c>
      <c r="K65" s="53">
        <f>K47-K60</f>
        <v>29.40600000000002</v>
      </c>
      <c r="Q65" s="1">
        <f>Q47-Q60</f>
        <v>0</v>
      </c>
      <c r="R65" s="1">
        <f>R47-R60</f>
        <v>0</v>
      </c>
      <c r="S65" s="1">
        <f>S47-S60</f>
        <v>12.39800000000001</v>
      </c>
      <c r="T65" s="5">
        <f>T47-T60</f>
        <v>23.417999999999992</v>
      </c>
    </row>
    <row r="66" spans="2:21" x14ac:dyDescent="0.15">
      <c r="B66" s="1" t="s">
        <v>102</v>
      </c>
      <c r="I66" s="1">
        <f>I65/I18</f>
        <v>0.21973999999999991</v>
      </c>
      <c r="J66" s="25">
        <f>J65/J18</f>
        <v>0.46835999999999983</v>
      </c>
      <c r="K66" s="1">
        <f>K65/K18</f>
        <v>0.58812000000000042</v>
      </c>
      <c r="S66" s="1">
        <f>S65/S18</f>
        <v>0.24796000000000021</v>
      </c>
      <c r="T66" s="1">
        <f>T65/T18</f>
        <v>0.46835999999999983</v>
      </c>
    </row>
    <row r="67" spans="2:21" x14ac:dyDescent="0.15">
      <c r="K67" s="5"/>
    </row>
    <row r="68" spans="2:21" s="36" customFormat="1" x14ac:dyDescent="0.15">
      <c r="B68" s="36" t="s">
        <v>6</v>
      </c>
      <c r="C68" s="36">
        <f t="shared" ref="C68:J68" si="26">C46</f>
        <v>0</v>
      </c>
      <c r="D68" s="37">
        <f t="shared" si="26"/>
        <v>0</v>
      </c>
      <c r="E68" s="36">
        <f t="shared" si="26"/>
        <v>0</v>
      </c>
      <c r="F68" s="37">
        <f t="shared" si="26"/>
        <v>0</v>
      </c>
      <c r="G68" s="36">
        <f t="shared" si="26"/>
        <v>0</v>
      </c>
      <c r="H68" s="37">
        <f t="shared" si="26"/>
        <v>13.266</v>
      </c>
      <c r="I68" s="39">
        <f t="shared" si="26"/>
        <v>14.473000000000001</v>
      </c>
      <c r="J68" s="37">
        <f t="shared" si="26"/>
        <v>19.015000000000001</v>
      </c>
      <c r="K68" s="39">
        <f>K46</f>
        <v>13.872</v>
      </c>
      <c r="L68" s="37"/>
      <c r="N68" s="37"/>
      <c r="Q68" s="36">
        <f>Q46</f>
        <v>0</v>
      </c>
      <c r="R68" s="36">
        <f>R46</f>
        <v>0</v>
      </c>
      <c r="S68" s="36">
        <f>S46</f>
        <v>13.266</v>
      </c>
      <c r="T68" s="36">
        <f>T46</f>
        <v>19.015000000000001</v>
      </c>
      <c r="U68" s="74"/>
    </row>
    <row r="69" spans="2:21" s="36" customFormat="1" x14ac:dyDescent="0.15">
      <c r="B69" s="36" t="s">
        <v>7</v>
      </c>
      <c r="C69" s="36">
        <f t="shared" ref="C69:J69" si="27">C51+C52+C57</f>
        <v>0</v>
      </c>
      <c r="D69" s="37">
        <f t="shared" si="27"/>
        <v>0</v>
      </c>
      <c r="E69" s="36">
        <f t="shared" si="27"/>
        <v>0</v>
      </c>
      <c r="F69" s="37">
        <f t="shared" si="27"/>
        <v>0</v>
      </c>
      <c r="G69" s="36">
        <f t="shared" si="27"/>
        <v>0</v>
      </c>
      <c r="H69" s="37">
        <f t="shared" si="27"/>
        <v>5.1610000000000005</v>
      </c>
      <c r="I69" s="39">
        <f t="shared" si="27"/>
        <v>13.02</v>
      </c>
      <c r="J69" s="37">
        <f t="shared" si="27"/>
        <v>4.9910000000000005</v>
      </c>
      <c r="K69" s="39">
        <f>K51+K52+K57</f>
        <v>0</v>
      </c>
      <c r="L69" s="37"/>
      <c r="N69" s="37"/>
      <c r="Q69" s="36">
        <f>Q51+Q52+Q57</f>
        <v>0</v>
      </c>
      <c r="R69" s="36">
        <f>R51+R52+R57</f>
        <v>0</v>
      </c>
      <c r="S69" s="36">
        <f>S51+S52+S57</f>
        <v>7.1050000000000004</v>
      </c>
      <c r="T69" s="36">
        <f>T51+T52+T57</f>
        <v>4.9910000000000005</v>
      </c>
      <c r="U69" s="74"/>
    </row>
    <row r="70" spans="2:21" x14ac:dyDescent="0.15">
      <c r="B70" s="1" t="s">
        <v>8</v>
      </c>
      <c r="C70" s="1">
        <f t="shared" ref="C70:J70" si="28">C68-C69</f>
        <v>0</v>
      </c>
      <c r="D70" s="25">
        <f t="shared" si="28"/>
        <v>0</v>
      </c>
      <c r="E70" s="1">
        <f t="shared" si="28"/>
        <v>0</v>
      </c>
      <c r="F70" s="25">
        <f t="shared" si="28"/>
        <v>0</v>
      </c>
      <c r="G70" s="1">
        <f t="shared" si="28"/>
        <v>0</v>
      </c>
      <c r="H70" s="25">
        <f t="shared" si="28"/>
        <v>8.1050000000000004</v>
      </c>
      <c r="I70" s="5">
        <f t="shared" si="28"/>
        <v>1.4530000000000012</v>
      </c>
      <c r="J70" s="25">
        <f t="shared" si="28"/>
        <v>14.024000000000001</v>
      </c>
      <c r="K70" s="5">
        <f>K68-K69</f>
        <v>13.872</v>
      </c>
      <c r="Q70" s="1">
        <f>Q68-Q69</f>
        <v>0</v>
      </c>
      <c r="R70" s="1">
        <f>R68-R69</f>
        <v>0</v>
      </c>
      <c r="S70" s="1">
        <f>S68-S69</f>
        <v>6.1609999999999996</v>
      </c>
      <c r="T70" s="1">
        <f>T68-T69</f>
        <v>14.024000000000001</v>
      </c>
    </row>
    <row r="72" spans="2:21" s="2" customFormat="1" x14ac:dyDescent="0.15">
      <c r="B72" s="2" t="s">
        <v>103</v>
      </c>
      <c r="D72" s="30"/>
      <c r="F72" s="30"/>
      <c r="H72" s="30"/>
      <c r="J72" s="30"/>
      <c r="K72" s="32">
        <f>K43/I43-1</f>
        <v>9.3658776773467567E-2</v>
      </c>
      <c r="L72" s="30"/>
      <c r="N72" s="30"/>
      <c r="U72" s="78"/>
    </row>
    <row r="73" spans="2:21" x14ac:dyDescent="0.15">
      <c r="B73" s="1" t="s">
        <v>104</v>
      </c>
      <c r="J73" s="34">
        <f>J43/I43-1</f>
        <v>-0.11613266275102874</v>
      </c>
      <c r="K73" s="33">
        <f>K43/J43-1</f>
        <v>0.23735625323305887</v>
      </c>
    </row>
    <row r="74" spans="2:21" x14ac:dyDescent="0.15">
      <c r="B74" s="1" t="s">
        <v>105</v>
      </c>
    </row>
    <row r="76" spans="2:21" s="58" customFormat="1" x14ac:dyDescent="0.15">
      <c r="B76" s="58" t="s">
        <v>106</v>
      </c>
      <c r="D76" s="59"/>
      <c r="F76" s="59"/>
      <c r="H76" s="59">
        <f>S76</f>
        <v>0.436</v>
      </c>
      <c r="I76" s="58">
        <v>0.63949999999999996</v>
      </c>
      <c r="J76" s="59">
        <f>T76</f>
        <v>0.63949999999999996</v>
      </c>
      <c r="K76" s="58">
        <v>1.3564000000000001</v>
      </c>
      <c r="L76" s="59"/>
      <c r="N76" s="59"/>
      <c r="S76" s="58">
        <v>0.436</v>
      </c>
      <c r="T76" s="58">
        <v>0.63949999999999996</v>
      </c>
      <c r="U76" s="81"/>
    </row>
    <row r="77" spans="2:21" x14ac:dyDescent="0.15">
      <c r="B77" s="1" t="s">
        <v>5</v>
      </c>
      <c r="I77" s="5">
        <f>I76*I18</f>
        <v>31.974999999999998</v>
      </c>
      <c r="J77" s="71">
        <f>J76*J18</f>
        <v>31.974999999999998</v>
      </c>
      <c r="K77" s="5">
        <f>K76*K18</f>
        <v>67.820000000000007</v>
      </c>
      <c r="S77" s="5">
        <f t="shared" ref="S77" si="29">S76*S18</f>
        <v>21.8</v>
      </c>
      <c r="T77" s="5">
        <f>T76*T18</f>
        <v>31.974999999999998</v>
      </c>
    </row>
    <row r="78" spans="2:21" x14ac:dyDescent="0.15">
      <c r="B78" s="1" t="s">
        <v>9</v>
      </c>
      <c r="I78" s="5">
        <f>I77-I70</f>
        <v>30.521999999999998</v>
      </c>
      <c r="J78" s="71">
        <f>J77-J70</f>
        <v>17.950999999999997</v>
      </c>
      <c r="K78" s="5">
        <f>K77-K70</f>
        <v>53.948000000000008</v>
      </c>
      <c r="S78" s="5">
        <f t="shared" ref="S78" si="30">S77-S70</f>
        <v>15.639000000000001</v>
      </c>
      <c r="T78" s="5">
        <f>T77-T70</f>
        <v>17.950999999999997</v>
      </c>
    </row>
    <row r="80" spans="2:21" s="60" customFormat="1" x14ac:dyDescent="0.15">
      <c r="B80" s="60" t="s">
        <v>30</v>
      </c>
      <c r="D80" s="61"/>
      <c r="F80" s="61"/>
      <c r="H80" s="61"/>
      <c r="I80" s="60">
        <f>I76/I66</f>
        <v>2.9102575771366168</v>
      </c>
      <c r="J80" s="61">
        <f>J76/J66</f>
        <v>1.3654026816978397</v>
      </c>
      <c r="K80" s="60">
        <f>K76/K66</f>
        <v>2.3063320410800503</v>
      </c>
      <c r="L80" s="61"/>
      <c r="N80" s="61"/>
      <c r="S80" s="60">
        <f t="shared" ref="S80:T80" si="31">S76/S66</f>
        <v>1.7583481206646219</v>
      </c>
      <c r="T80" s="60">
        <f>T76/T66</f>
        <v>1.3654026816978397</v>
      </c>
      <c r="U80" s="82"/>
    </row>
    <row r="81" spans="2:20" x14ac:dyDescent="0.15">
      <c r="B81" s="1" t="s">
        <v>32</v>
      </c>
      <c r="J81" s="61">
        <f>J77/SUM(I6:J6)</f>
        <v>0.26837723053163454</v>
      </c>
      <c r="K81" s="60">
        <f>K77/SUM(J6:K6)</f>
        <v>0.45648208600601736</v>
      </c>
    </row>
    <row r="82" spans="2:20" x14ac:dyDescent="0.15">
      <c r="B82" s="1" t="s">
        <v>33</v>
      </c>
    </row>
    <row r="83" spans="2:20" x14ac:dyDescent="0.15">
      <c r="B83" s="1" t="s">
        <v>31</v>
      </c>
      <c r="J83" s="61">
        <f>J76/SUM(I17:J17)</f>
        <v>4.5587396635300861</v>
      </c>
      <c r="K83" s="60">
        <f>K76/SUM(J17:K17)</f>
        <v>5.6544939136234786</v>
      </c>
      <c r="S83" s="60">
        <f t="shared" ref="S83:T83" si="32">S76/S17</f>
        <v>-1.8314710577165425</v>
      </c>
      <c r="T83" s="60">
        <f>T76/T17</f>
        <v>4.5587396635300852</v>
      </c>
    </row>
    <row r="84" spans="2:20" x14ac:dyDescent="0.15">
      <c r="B84" s="1" t="s">
        <v>34</v>
      </c>
    </row>
    <row r="85" spans="2:20" x14ac:dyDescent="0.15">
      <c r="B85" s="1" t="s">
        <v>35</v>
      </c>
    </row>
  </sheetData>
  <hyperlinks>
    <hyperlink ref="K1" r:id="rId1" xr:uid="{B2580646-A955-4D29-AC19-0B64C348762A}"/>
  </hyperlinks>
  <pageMargins left="0.7" right="0.7" top="0.75" bottom="0.75" header="0.3" footer="0.3"/>
  <pageSetup paperSize="256" orientation="portrait" horizontalDpi="203" verticalDpi="203" r:id="rId2"/>
  <ignoredErrors>
    <ignoredError sqref="J42 J55 J8:J18 H42:H62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2023-01-13T13:32:14Z</dcterms:created>
  <dcterms:modified xsi:type="dcterms:W3CDTF">2023-01-14T01:01:27Z</dcterms:modified>
</cp:coreProperties>
</file>