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9C1E774-0C69-4280-A7B8-DEFF043989D2}" xr6:coauthVersionLast="36" xr6:coauthVersionMax="47" xr10:uidLastSave="{00000000-0000-0000-0000-000000000000}"/>
  <bookViews>
    <workbookView xWindow="-120" yWindow="-120" windowWidth="29040" windowHeight="15720" activeTab="1" xr2:uid="{47E727E2-A9A8-4982-8579-220A7F2C2C9D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5" i="1"/>
  <c r="C10" i="1"/>
  <c r="C9" i="1"/>
  <c r="AA3" i="2"/>
  <c r="AA2" i="2"/>
  <c r="AA45" i="2"/>
  <c r="AA44" i="2"/>
  <c r="AA43" i="2"/>
  <c r="AA42" i="2"/>
  <c r="AA29" i="2"/>
  <c r="AA27" i="2"/>
  <c r="AA24" i="2"/>
  <c r="AA23" i="2"/>
  <c r="AA22" i="2"/>
  <c r="AA21" i="2"/>
  <c r="AA20" i="2"/>
  <c r="AA30" i="2"/>
  <c r="AA19" i="2"/>
  <c r="AA18" i="2"/>
  <c r="AA17" i="2"/>
  <c r="AA16" i="2"/>
  <c r="AA15" i="2"/>
  <c r="AA14" i="2"/>
  <c r="AA13" i="2"/>
  <c r="P45" i="2"/>
  <c r="P44" i="2"/>
  <c r="P43" i="2"/>
  <c r="P42" i="2"/>
  <c r="AA89" i="2"/>
  <c r="AA90" i="2" s="1"/>
  <c r="AA87" i="2"/>
  <c r="P80" i="2"/>
  <c r="P79" i="2"/>
  <c r="P78" i="2"/>
  <c r="P76" i="2"/>
  <c r="P75" i="2"/>
  <c r="P73" i="2"/>
  <c r="P70" i="2"/>
  <c r="P66" i="2"/>
  <c r="P59" i="2"/>
  <c r="P54" i="2"/>
  <c r="P32" i="2"/>
  <c r="P40" i="2"/>
  <c r="P29" i="2"/>
  <c r="P24" i="2"/>
  <c r="P25" i="2"/>
  <c r="X25" i="2"/>
  <c r="P15" i="2"/>
  <c r="P19" i="2" s="1"/>
  <c r="AA25" i="2" l="1"/>
  <c r="AA26" i="2" s="1"/>
  <c r="AA28" i="2" s="1"/>
  <c r="P26" i="2"/>
  <c r="P28" i="2" s="1"/>
  <c r="X90" i="2"/>
  <c r="Y90" i="2"/>
  <c r="Z90" i="2"/>
  <c r="X89" i="2"/>
  <c r="Y89" i="2"/>
  <c r="Z89" i="2"/>
  <c r="Z87" i="2"/>
  <c r="Y87" i="2"/>
  <c r="X87" i="2"/>
  <c r="L40" i="2"/>
  <c r="M40" i="2"/>
  <c r="L27" i="2"/>
  <c r="L23" i="2"/>
  <c r="L22" i="2"/>
  <c r="L21" i="2"/>
  <c r="L20" i="2"/>
  <c r="L18" i="2"/>
  <c r="L17" i="2"/>
  <c r="L16" i="2"/>
  <c r="L30" i="2"/>
  <c r="L14" i="2"/>
  <c r="L13" i="2"/>
  <c r="L15" i="2" s="1"/>
  <c r="L42" i="2" s="1"/>
  <c r="Z4" i="2"/>
  <c r="Y4" i="2"/>
  <c r="X4" i="2"/>
  <c r="Z8" i="2"/>
  <c r="Y8" i="2"/>
  <c r="X8" i="2"/>
  <c r="AA32" i="2"/>
  <c r="Z43" i="2"/>
  <c r="Z42" i="2"/>
  <c r="Y42" i="2"/>
  <c r="X43" i="2"/>
  <c r="X42" i="2"/>
  <c r="X18" i="2"/>
  <c r="Y18" i="2"/>
  <c r="Z24" i="2"/>
  <c r="L24" i="2" s="1"/>
  <c r="Z25" i="2"/>
  <c r="Y25" i="2"/>
  <c r="Y15" i="2"/>
  <c r="X15" i="2"/>
  <c r="X19" i="2" s="1"/>
  <c r="Z15" i="2"/>
  <c r="Z19" i="2" s="1"/>
  <c r="Y32" i="2"/>
  <c r="Z32" i="2"/>
  <c r="L19" i="2" l="1"/>
  <c r="L43" i="2" s="1"/>
  <c r="Y19" i="2"/>
  <c r="Y43" i="2" s="1"/>
  <c r="L25" i="2"/>
  <c r="L26" i="2" s="1"/>
  <c r="L28" i="2" s="1"/>
  <c r="X26" i="2"/>
  <c r="Y26" i="2"/>
  <c r="Z26" i="2"/>
  <c r="J40" i="2"/>
  <c r="N40" i="2"/>
  <c r="M39" i="2"/>
  <c r="M38" i="2"/>
  <c r="M37" i="2"/>
  <c r="M36" i="2"/>
  <c r="M35" i="2"/>
  <c r="M34" i="2"/>
  <c r="M33" i="2"/>
  <c r="M32" i="2"/>
  <c r="I25" i="2"/>
  <c r="I15" i="2"/>
  <c r="I19" i="2" s="1"/>
  <c r="I43" i="2" s="1"/>
  <c r="M25" i="2"/>
  <c r="M15" i="2"/>
  <c r="M19" i="2" s="1"/>
  <c r="M43" i="2" s="1"/>
  <c r="I8" i="2"/>
  <c r="I4" i="2"/>
  <c r="M8" i="2"/>
  <c r="M4" i="2"/>
  <c r="K40" i="2"/>
  <c r="O40" i="2"/>
  <c r="N39" i="2"/>
  <c r="N38" i="2"/>
  <c r="N37" i="2"/>
  <c r="N36" i="2"/>
  <c r="N35" i="2"/>
  <c r="N34" i="2"/>
  <c r="N33" i="2"/>
  <c r="N32" i="2"/>
  <c r="J25" i="2"/>
  <c r="J15" i="2"/>
  <c r="J19" i="2" s="1"/>
  <c r="J26" i="2" s="1"/>
  <c r="N15" i="2"/>
  <c r="N19" i="2" s="1"/>
  <c r="N43" i="2" s="1"/>
  <c r="J8" i="2"/>
  <c r="J4" i="2"/>
  <c r="N25" i="2"/>
  <c r="N8" i="2"/>
  <c r="N4" i="2"/>
  <c r="K87" i="2"/>
  <c r="O87" i="2"/>
  <c r="Y28" i="2" l="1"/>
  <c r="Y45" i="2"/>
  <c r="X28" i="2"/>
  <c r="X45" i="2"/>
  <c r="L44" i="2"/>
  <c r="L29" i="2"/>
  <c r="Z28" i="2"/>
  <c r="Z45" i="2"/>
  <c r="L45" i="2"/>
  <c r="J28" i="2"/>
  <c r="J45" i="2"/>
  <c r="J43" i="2"/>
  <c r="I26" i="2"/>
  <c r="I42" i="2"/>
  <c r="M42" i="2"/>
  <c r="J42" i="2"/>
  <c r="N26" i="2"/>
  <c r="N45" i="2" s="1"/>
  <c r="N42" i="2"/>
  <c r="M26" i="2"/>
  <c r="N28" i="2"/>
  <c r="Z29" i="2" l="1"/>
  <c r="Z44" i="2"/>
  <c r="X29" i="2"/>
  <c r="X44" i="2"/>
  <c r="Y44" i="2"/>
  <c r="Y29" i="2"/>
  <c r="N29" i="2"/>
  <c r="N44" i="2"/>
  <c r="M28" i="2"/>
  <c r="M45" i="2"/>
  <c r="I45" i="2"/>
  <c r="I28" i="2"/>
  <c r="J29" i="2"/>
  <c r="J44" i="2"/>
  <c r="AB32" i="2"/>
  <c r="O39" i="2"/>
  <c r="O38" i="2"/>
  <c r="O37" i="2"/>
  <c r="O36" i="2"/>
  <c r="O35" i="2"/>
  <c r="O34" i="2"/>
  <c r="O33" i="2"/>
  <c r="K8" i="2"/>
  <c r="K4" i="2"/>
  <c r="O8" i="2"/>
  <c r="O4" i="2"/>
  <c r="O79" i="2"/>
  <c r="O78" i="2"/>
  <c r="O66" i="2"/>
  <c r="O70" i="2" s="1"/>
  <c r="O54" i="2"/>
  <c r="O59" i="2" s="1"/>
  <c r="O32" i="2"/>
  <c r="K25" i="2"/>
  <c r="K15" i="2"/>
  <c r="K19" i="2" s="1"/>
  <c r="K43" i="2" s="1"/>
  <c r="O25" i="2"/>
  <c r="O15" i="2"/>
  <c r="O19" i="2" s="1"/>
  <c r="C8" i="1"/>
  <c r="I44" i="2" l="1"/>
  <c r="I29" i="2"/>
  <c r="M44" i="2"/>
  <c r="M29" i="2"/>
  <c r="K42" i="2"/>
  <c r="O42" i="2"/>
  <c r="O26" i="2"/>
  <c r="O43" i="2"/>
  <c r="O73" i="2"/>
  <c r="O75" i="2"/>
  <c r="O76" i="2" s="1"/>
  <c r="O80" i="2"/>
  <c r="C11" i="1"/>
  <c r="C12" i="1" s="1"/>
  <c r="K26" i="2"/>
  <c r="K28" i="2" l="1"/>
  <c r="K45" i="2"/>
  <c r="O28" i="2"/>
  <c r="O45" i="2"/>
  <c r="O44" i="2" l="1"/>
  <c r="O29" i="2"/>
  <c r="K29" i="2"/>
  <c r="K44" i="2"/>
  <c r="R13" i="2"/>
  <c r="Q13" i="2"/>
</calcChain>
</file>

<file path=xl/sharedStrings.xml><?xml version="1.0" encoding="utf-8"?>
<sst xmlns="http://schemas.openxmlformats.org/spreadsheetml/2006/main" count="140" uniqueCount="127">
  <si>
    <t>$STX</t>
  </si>
  <si>
    <t>Seagate Technology Holdings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</si>
  <si>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</si>
  <si>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</si>
  <si>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</si>
  <si>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</si>
  <si>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</si>
  <si>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</si>
  <si>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</si>
  <si>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</si>
  <si>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</si>
  <si>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</si>
  <si>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</si>
  <si>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</si>
  <si>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</si>
  <si>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</si>
  <si>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</si>
  <si>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</si>
  <si>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</si>
  <si>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</si>
  <si>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</si>
  <si>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</si>
  <si>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</si>
  <si>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</si>
  <si>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</si>
  <si>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</si>
  <si>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Key Events</t>
  </si>
  <si>
    <t>Q125</t>
  </si>
  <si>
    <t>Revenue</t>
  </si>
  <si>
    <t>COGS</t>
  </si>
  <si>
    <t>Gross Profit</t>
  </si>
  <si>
    <t>Product Development</t>
  </si>
  <si>
    <t>G&amp;A</t>
  </si>
  <si>
    <t>Restructuring</t>
  </si>
  <si>
    <t>Operating Income</t>
  </si>
  <si>
    <t>Interest Income</t>
  </si>
  <si>
    <t>Interest Expense</t>
  </si>
  <si>
    <t>Net gain IRS</t>
  </si>
  <si>
    <t>Net loss Debt</t>
  </si>
  <si>
    <t>Other, net</t>
  </si>
  <si>
    <t>Net Expenses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</si>
  <si>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</si>
  <si>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</si>
  <si>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</si>
  <si>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</si>
  <si>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</si>
  <si>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</si>
  <si>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</si>
  <si>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</si>
  <si>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</si>
  <si>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</si>
  <si>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Q424</t>
  </si>
  <si>
    <t>Q324</t>
  </si>
  <si>
    <t>Q224</t>
  </si>
  <si>
    <t>Q124</t>
  </si>
  <si>
    <t>Balance Sheet</t>
  </si>
  <si>
    <t>A/R</t>
  </si>
  <si>
    <t>Inventories, net</t>
  </si>
  <si>
    <t>OCA</t>
  </si>
  <si>
    <t>TCA</t>
  </si>
  <si>
    <t>PP&amp;E</t>
  </si>
  <si>
    <t>Goodwill</t>
  </si>
  <si>
    <t>Deferred Taxes</t>
  </si>
  <si>
    <t>Other assets, net</t>
  </si>
  <si>
    <t>Assets</t>
  </si>
  <si>
    <t>A/P</t>
  </si>
  <si>
    <t>Employee Compensation</t>
  </si>
  <si>
    <t>Warranty</t>
  </si>
  <si>
    <t>Current LT Debt</t>
  </si>
  <si>
    <t>Accrued Expenses</t>
  </si>
  <si>
    <t>TCL</t>
  </si>
  <si>
    <t>LT accrued Warranty</t>
  </si>
  <si>
    <t>Other NCL</t>
  </si>
  <si>
    <t>LT Debt</t>
  </si>
  <si>
    <t>Liabilities</t>
  </si>
  <si>
    <t>S/E</t>
  </si>
  <si>
    <t>S/E+L</t>
  </si>
  <si>
    <t>Book Value</t>
  </si>
  <si>
    <t>Book Value per Share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</si>
  <si>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</si>
  <si>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</si>
  <si>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</si>
  <si>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</si>
  <si>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</si>
  <si>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</si>
  <si>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</si>
  <si>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</si>
  <si>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</si>
  <si>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</si>
  <si>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</si>
  <si>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</si>
  <si>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</si>
  <si>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Q423</t>
  </si>
  <si>
    <t>Q323</t>
  </si>
  <si>
    <t>Q223</t>
  </si>
  <si>
    <t>Q123</t>
  </si>
  <si>
    <t>Q422</t>
  </si>
  <si>
    <t>Singapore</t>
  </si>
  <si>
    <t>United States</t>
  </si>
  <si>
    <t>The Netherlands</t>
  </si>
  <si>
    <t>Other</t>
  </si>
  <si>
    <t>Revenue by Country</t>
  </si>
  <si>
    <t>Revenue by Channel</t>
  </si>
  <si>
    <t>OEMs</t>
  </si>
  <si>
    <t>Distributers</t>
  </si>
  <si>
    <t>Retailers</t>
  </si>
  <si>
    <t>OEM Y/Y</t>
  </si>
  <si>
    <t>Distributer Y/Y</t>
  </si>
  <si>
    <t>Retailers Y/Y</t>
  </si>
  <si>
    <t>Singapore Y/Y</t>
  </si>
  <si>
    <t>United States Y/Y</t>
  </si>
  <si>
    <t>The Netherlands Y/Y</t>
  </si>
  <si>
    <t>Other Y/Y</t>
  </si>
  <si>
    <t>Kerrisdale Capital release bull report</t>
  </si>
  <si>
    <t>Cashflow</t>
  </si>
  <si>
    <t>CFFO</t>
  </si>
  <si>
    <t>Q225</t>
  </si>
  <si>
    <t>Q325</t>
  </si>
  <si>
    <t>Q425</t>
  </si>
  <si>
    <t>CapEx</t>
  </si>
  <si>
    <t>FCF</t>
  </si>
  <si>
    <t>FCF TTM</t>
  </si>
  <si>
    <t>FCF per Share</t>
  </si>
  <si>
    <t>Price / FCF</t>
  </si>
  <si>
    <t>Q126</t>
  </si>
  <si>
    <t>Q226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</si>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</sst>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\x"/>
    <numFmt numFmtId="166" formatCode="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 tint="0.499984740745262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3" fontId="1" fillId="0" borderId="0" xfId="0" applyNumberFormat="1" applyFont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" fontId="1" fillId="4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7" fontId="4" fillId="0" borderId="0" xfId="0" applyNumberFormat="1" applyFont="1" applyAlignment="1">
      <alignment horizontal="right"/>
    </xf>
    <xf numFmtId="2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  <xf numFmtId="14" fontId="4" fillId="0" borderId="0" xfId="0" applyNumberFormat="1" applyFont="1" applyAlignment="1">
      <alignment horizontal="right"/>
    </xf>
    <xf numFmtId="0" fontId="6" fillId="0" borderId="0" xfId="1" applyFont="1" applyAlignment="1">
      <alignment horizontal="right"/>
    </xf>
    <xf numFmtId="9" fontId="2" fillId="0" borderId="0" xfId="0" applyNumberFormat="1" applyFont="1"/>
    <xf numFmtId="0" fontId="7" fillId="0" borderId="0" xfId="0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3" fontId="9" fillId="0" borderId="0" xfId="0" applyNumberFormat="1" applyFont="1"/>
    <xf numFmtId="3" fontId="9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left" indent="1"/>
    </xf>
    <xf numFmtId="9" fontId="3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1" fillId="0" borderId="0" xfId="0" applyNumberFormat="1" applyFont="1"/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3" fontId="1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466726</xdr:colOff>
      <xdr:row>0</xdr:row>
      <xdr:rowOff>19050</xdr:rowOff>
    </xdr:from>
    <xdr:to>
      <xdr:col>5</xdr:col>
      <xdr:colOff>497914</xdr:colOff>
      <xdr:row>3</xdr:row>
      <xdr:rowOff>95250</xdr:rowOff>
    </xdr:to>
    <xdr:pic>
      <xdr:nvPicPr>
        <xdr:cNvPr id="3" name="Picture 2" descr="Image Center | Seagate US">
          <a:extLst>
            <a:ext uri="{FF2B5EF4-FFF2-40B4-BE49-F238E27FC236}">
              <a16:creationId xmlns:a16="http://schemas.microsoft.com/office/drawing/2014/main" id="{A62E3B00-AAD3-424B-F268-1304DE3DD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6" y="19050"/>
          <a:ext cx="640788" cy="56197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9525</xdr:colOff>
      <xdr:row>0</xdr:row>
      <xdr:rowOff>19050</xdr:rowOff>
    </xdr:from>
    <xdr:to>
      <xdr:col>27</xdr:col>
      <xdr:colOff>9525</xdr:colOff>
      <xdr:row>95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2D2789A-FC85-F44A-377B-F83532B599A2}"/>
            </a:ext>
          </a:extLst>
        </xdr:cNvPr>
        <xdr:cNvCxnSpPr/>
      </xdr:nvCxnSpPr>
      <xdr:spPr>
        <a:xfrm>
          <a:off x="16792575" y="19050"/>
          <a:ext cx="0" cy="153638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0</xdr:row>
      <xdr:rowOff>0</xdr:rowOff>
    </xdr:from>
    <xdr:to>
      <xdr:col>16</xdr:col>
      <xdr:colOff>19050</xdr:colOff>
      <xdr:row>94</xdr:row>
      <xdr:rowOff>142875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6895D12-37A6-4B61-9584-69DA30CC957C}"/>
            </a:ext>
          </a:extLst>
        </xdr:cNvPr>
        <xdr:cNvCxnSpPr/>
      </xdr:nvCxnSpPr>
      <xdr:spPr>
        <a:xfrm>
          <a:off x="10096500" y="0"/>
          <a:ext cx="0" cy="153638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ix?doc=/Archives/edgar/data/0001137789/000113778924000068/stx-20240628.htm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sec.gov/ix?doc=/Archives/edgar/data/0001137789/000113778925000020/stx-20241227.htm" TargetMode="External"/><Relationship Id="rId1" Type="http://schemas.openxmlformats.org/officeDocument/2006/relationships/hyperlink" Target="https://www.sec.gov/ix?doc=/Archives/edgar/data/0001137789/000113778925000075/stx-20250328.ht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24.q4cdn.com/101481333/files/doc_financials/2025/q4/STX-FQ4-25-Press-Release.pdf" TargetMode="External"/><Relationship Id="rId4" Type="http://schemas.openxmlformats.org/officeDocument/2006/relationships/hyperlink" Target="http://sec.gov/ix?doc=/Archives/edgar/data/0001137789/000113778924000068/stx-2024062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E0EA-E973-4B86-9874-849339364235}">
  <dimension ref="B2:L38"/>
  <sheetViews>
    <sheetView workbookViewId="0">
      <selection activeCell="C35" sqref="C35:D35"/>
    </sheetView>
  </sheetViews>
  <sheetFormatPr defaultRowHeight="12.75" x14ac:dyDescent="0.2"/>
  <cols>
    <col min="1" max="16384" width="9.140625" style="1"/>
  </cols>
  <sheetData>
    <row r="2" spans="2:12" x14ac:dyDescent="0.2">
      <c r="B2" s="2" t="s">
        <v>0</v>
      </c>
    </row>
    <row r="3" spans="2:12" x14ac:dyDescent="0.2">
      <c r="B3" s="2" t="s">
        <v>1</v>
      </c>
    </row>
    <row r="5" spans="2:12" x14ac:dyDescent="0.2">
      <c r="B5" s="36" t="s">
        <v>2</v>
      </c>
      <c r="C5" s="37"/>
      <c r="D5" s="38"/>
      <c r="G5" s="36" t="s">
        <v>26</v>
      </c>
      <c r="H5" s="37"/>
      <c r="I5" s="37"/>
      <c r="J5" s="37"/>
      <c r="K5" s="37"/>
      <c r="L5" s="38"/>
    </row>
    <row r="6" spans="2:12" x14ac:dyDescent="0.2">
      <c r="B6" s="3" t="s">
        <v>3</v>
      </c>
      <c r="C6" s="1">
        <v>151.29</v>
      </c>
      <c r="D6" s="15"/>
      <c r="G6" s="11"/>
      <c r="H6" s="5"/>
      <c r="I6" s="5"/>
      <c r="J6" s="5"/>
      <c r="K6" s="5"/>
      <c r="L6" s="6"/>
    </row>
    <row r="7" spans="2:12" x14ac:dyDescent="0.2">
      <c r="B7" s="3" t="s">
        <v>4</v>
      </c>
      <c r="C7" s="13">
        <v>212.21224100000001</v>
      </c>
      <c r="D7" s="15" t="s">
        <v>118</v>
      </c>
      <c r="G7" s="35">
        <v>45778</v>
      </c>
      <c r="H7" s="5" t="s">
        <v>113</v>
      </c>
      <c r="I7" s="5"/>
      <c r="J7" s="5"/>
      <c r="K7" s="5"/>
      <c r="L7" s="6"/>
    </row>
    <row r="8" spans="2:12" x14ac:dyDescent="0.2">
      <c r="B8" s="3" t="s">
        <v>5</v>
      </c>
      <c r="C8" s="13">
        <f>C6*C7</f>
        <v>32105.58994089</v>
      </c>
      <c r="D8" s="15"/>
      <c r="G8" s="11"/>
      <c r="H8" s="5"/>
      <c r="I8" s="5"/>
      <c r="J8" s="5"/>
      <c r="K8" s="5"/>
      <c r="L8" s="6"/>
    </row>
    <row r="9" spans="2:12" x14ac:dyDescent="0.2">
      <c r="B9" s="3" t="s">
        <v>6</v>
      </c>
      <c r="C9" s="13">
        <f>+'Financial Model'!P78</f>
        <v>891</v>
      </c>
      <c r="D9" s="15" t="s">
        <v>118</v>
      </c>
      <c r="G9" s="11"/>
      <c r="H9" s="5"/>
      <c r="I9" s="5"/>
      <c r="J9" s="5"/>
      <c r="K9" s="5"/>
      <c r="L9" s="6"/>
    </row>
    <row r="10" spans="2:12" x14ac:dyDescent="0.2">
      <c r="B10" s="3" t="s">
        <v>7</v>
      </c>
      <c r="C10" s="13">
        <f>+'Financial Model'!P79</f>
        <v>5072</v>
      </c>
      <c r="D10" s="15" t="s">
        <v>118</v>
      </c>
      <c r="G10" s="11"/>
      <c r="H10" s="5"/>
      <c r="I10" s="5"/>
      <c r="J10" s="5"/>
      <c r="K10" s="5"/>
      <c r="L10" s="6"/>
    </row>
    <row r="11" spans="2:12" x14ac:dyDescent="0.2">
      <c r="B11" s="3" t="s">
        <v>8</v>
      </c>
      <c r="C11" s="13">
        <f>C9-C10</f>
        <v>-4181</v>
      </c>
      <c r="D11" s="15" t="s">
        <v>118</v>
      </c>
      <c r="G11" s="11"/>
      <c r="H11" s="5"/>
      <c r="I11" s="5"/>
      <c r="J11" s="5"/>
      <c r="K11" s="5"/>
      <c r="L11" s="6"/>
    </row>
    <row r="12" spans="2:12" x14ac:dyDescent="0.2">
      <c r="B12" s="4" t="s">
        <v>9</v>
      </c>
      <c r="C12" s="14">
        <f>C8-C11</f>
        <v>36286.58994089</v>
      </c>
      <c r="D12" s="16"/>
      <c r="G12" s="11"/>
      <c r="H12" s="5"/>
      <c r="I12" s="5"/>
      <c r="J12" s="5"/>
      <c r="K12" s="5"/>
      <c r="L12" s="6"/>
    </row>
    <row r="13" spans="2:12" x14ac:dyDescent="0.2">
      <c r="G13" s="11"/>
      <c r="H13" s="5"/>
      <c r="I13" s="5"/>
      <c r="J13" s="5"/>
      <c r="K13" s="5"/>
      <c r="L13" s="6"/>
    </row>
    <row r="14" spans="2:12" x14ac:dyDescent="0.2">
      <c r="G14" s="11"/>
      <c r="H14" s="5"/>
      <c r="I14" s="5"/>
      <c r="J14" s="5"/>
      <c r="K14" s="5"/>
      <c r="L14" s="6"/>
    </row>
    <row r="15" spans="2:12" x14ac:dyDescent="0.2">
      <c r="B15" s="36" t="s">
        <v>10</v>
      </c>
      <c r="C15" s="37"/>
      <c r="D15" s="38"/>
      <c r="G15" s="12"/>
      <c r="H15" s="7"/>
      <c r="I15" s="7"/>
      <c r="J15" s="7"/>
      <c r="K15" s="7"/>
      <c r="L15" s="8"/>
    </row>
    <row r="16" spans="2:12" x14ac:dyDescent="0.2">
      <c r="B16" s="9" t="s">
        <v>11</v>
      </c>
      <c r="C16" s="41"/>
      <c r="D16" s="42"/>
    </row>
    <row r="17" spans="2:4" x14ac:dyDescent="0.2">
      <c r="B17" s="9" t="s">
        <v>12</v>
      </c>
      <c r="C17" s="41"/>
      <c r="D17" s="42"/>
    </row>
    <row r="18" spans="2:4" x14ac:dyDescent="0.2">
      <c r="B18" s="9"/>
      <c r="C18" s="41"/>
      <c r="D18" s="42"/>
    </row>
    <row r="19" spans="2:4" x14ac:dyDescent="0.2">
      <c r="B19" s="10" t="s">
        <v>13</v>
      </c>
      <c r="C19" s="39"/>
      <c r="D19" s="40"/>
    </row>
    <row r="22" spans="2:4" x14ac:dyDescent="0.2">
      <c r="B22" s="36" t="s">
        <v>14</v>
      </c>
      <c r="C22" s="37"/>
      <c r="D22" s="38"/>
    </row>
    <row r="23" spans="2:4" x14ac:dyDescent="0.2">
      <c r="B23" s="11" t="s">
        <v>15</v>
      </c>
      <c r="C23" s="43"/>
      <c r="D23" s="44"/>
    </row>
    <row r="24" spans="2:4" x14ac:dyDescent="0.2">
      <c r="B24" s="11" t="s">
        <v>16</v>
      </c>
      <c r="C24" s="43"/>
      <c r="D24" s="44"/>
    </row>
    <row r="25" spans="2:4" x14ac:dyDescent="0.2">
      <c r="B25" s="11" t="s">
        <v>17</v>
      </c>
      <c r="C25" s="43"/>
      <c r="D25" s="44"/>
    </row>
    <row r="26" spans="2:4" x14ac:dyDescent="0.2">
      <c r="B26" s="11"/>
      <c r="C26" s="43"/>
      <c r="D26" s="44"/>
    </row>
    <row r="27" spans="2:4" x14ac:dyDescent="0.2">
      <c r="B27" s="11"/>
      <c r="C27" s="43"/>
      <c r="D27" s="44"/>
    </row>
    <row r="28" spans="2:4" x14ac:dyDescent="0.2">
      <c r="B28" s="11"/>
      <c r="C28" s="43"/>
      <c r="D28" s="44"/>
    </row>
    <row r="29" spans="2:4" x14ac:dyDescent="0.2">
      <c r="B29" s="11" t="s">
        <v>18</v>
      </c>
      <c r="C29" s="15" t="s">
        <v>118</v>
      </c>
      <c r="D29" s="17">
        <v>47300</v>
      </c>
    </row>
    <row r="30" spans="2:4" x14ac:dyDescent="0.2">
      <c r="B30" s="12" t="s">
        <v>19</v>
      </c>
      <c r="C30" s="45"/>
      <c r="D30" s="46"/>
    </row>
    <row r="33" spans="2:4" x14ac:dyDescent="0.2">
      <c r="B33" s="36" t="s">
        <v>20</v>
      </c>
      <c r="C33" s="37"/>
      <c r="D33" s="38"/>
    </row>
    <row r="34" spans="2:4" x14ac:dyDescent="0.2">
      <c r="B34" s="11" t="s">
        <v>21</v>
      </c>
      <c r="C34" s="43"/>
      <c r="D34" s="44"/>
    </row>
    <row r="35" spans="2:4" x14ac:dyDescent="0.2">
      <c r="B35" s="11" t="s">
        <v>22</v>
      </c>
      <c r="C35" s="48">
        <f>+C8/'Financial Model'!AA13</f>
        <v>3.5292502957997143</v>
      </c>
      <c r="D35" s="49"/>
    </row>
    <row r="36" spans="2:4" x14ac:dyDescent="0.2">
      <c r="B36" s="11" t="s">
        <v>23</v>
      </c>
      <c r="C36" s="43"/>
      <c r="D36" s="44"/>
    </row>
    <row r="37" spans="2:4" x14ac:dyDescent="0.2">
      <c r="B37" s="11" t="s">
        <v>24</v>
      </c>
      <c r="C37" s="50">
        <f>+C6/'Financial Model'!AA29</f>
        <v>21.833546630360789</v>
      </c>
      <c r="D37" s="51"/>
    </row>
    <row r="38" spans="2:4" x14ac:dyDescent="0.2">
      <c r="B38" s="11" t="s">
        <v>25</v>
      </c>
      <c r="C38" s="43"/>
      <c r="D38" s="44"/>
    </row>
  </sheetData>
  <mergeCells count="21">
    <mergeCell ref="C36:D36"/>
    <mergeCell ref="C37:D37"/>
    <mergeCell ref="C38:D38"/>
    <mergeCell ref="G5:L5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  <mergeCell ref="B5:D5"/>
    <mergeCell ref="B15:D15"/>
    <mergeCell ref="C19:D19"/>
    <mergeCell ref="C18:D18"/>
    <mergeCell ref="C17:D17"/>
    <mergeCell ref="C16:D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54E-CC40-4258-9CE5-B798A8BE7230}">
  <dimension ref="B1:AF91"/>
  <sheetViews>
    <sheetView tabSelected="1" zoomScaleNormal="100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K65" sqref="K65"/>
    </sheetView>
  </sheetViews>
  <sheetFormatPr defaultRowHeight="12.75" x14ac:dyDescent="0.2"/>
  <cols>
    <col min="1" max="1" width="4.28515625" style="1" customWidth="1"/>
    <col min="2" max="2" width="18.85546875" style="1" bestFit="1" customWidth="1"/>
    <col min="3" max="16384" width="9.140625" style="1"/>
  </cols>
  <sheetData>
    <row r="1" spans="2:32" s="18" customFormat="1" x14ac:dyDescent="0.2">
      <c r="C1" s="18" t="s">
        <v>93</v>
      </c>
      <c r="D1" s="18" t="s">
        <v>96</v>
      </c>
      <c r="E1" s="18" t="s">
        <v>95</v>
      </c>
      <c r="F1" s="18" t="s">
        <v>94</v>
      </c>
      <c r="G1" s="18" t="s">
        <v>93</v>
      </c>
      <c r="H1" s="18" t="s">
        <v>92</v>
      </c>
      <c r="I1" s="18" t="s">
        <v>54</v>
      </c>
      <c r="J1" s="18" t="s">
        <v>53</v>
      </c>
      <c r="K1" s="18" t="s">
        <v>52</v>
      </c>
      <c r="L1" s="26" t="s">
        <v>51</v>
      </c>
      <c r="M1" s="18" t="s">
        <v>27</v>
      </c>
      <c r="N1" s="26" t="s">
        <v>116</v>
      </c>
      <c r="O1" s="26" t="s">
        <v>117</v>
      </c>
      <c r="P1" s="26" t="s">
        <v>118</v>
      </c>
      <c r="Q1" s="18" t="s">
        <v>124</v>
      </c>
      <c r="R1" s="18" t="s">
        <v>125</v>
      </c>
      <c r="T1" s="18" t="s">
        <v>79</v>
      </c>
      <c r="U1" s="18" t="s">
        <v>80</v>
      </c>
      <c r="V1" s="18" t="s">
        <v>81</v>
      </c>
      <c r="W1" s="18" t="s">
        <v>82</v>
      </c>
      <c r="X1" s="18" t="s">
        <v>83</v>
      </c>
      <c r="Y1" s="18" t="s">
        <v>84</v>
      </c>
      <c r="Z1" s="26" t="s">
        <v>85</v>
      </c>
      <c r="AA1" s="18" t="s">
        <v>86</v>
      </c>
      <c r="AB1" s="18" t="s">
        <v>87</v>
      </c>
      <c r="AC1" s="18" t="s">
        <v>88</v>
      </c>
      <c r="AD1" s="18" t="s">
        <v>89</v>
      </c>
      <c r="AE1" s="18" t="s">
        <v>90</v>
      </c>
      <c r="AF1" s="18" t="s">
        <v>91</v>
      </c>
    </row>
    <row r="2" spans="2:32" s="20" customFormat="1" x14ac:dyDescent="0.2">
      <c r="B2" s="19"/>
      <c r="D2" s="25">
        <v>44743</v>
      </c>
      <c r="H2" s="25">
        <v>45107</v>
      </c>
      <c r="I2" s="25">
        <v>45198</v>
      </c>
      <c r="J2" s="25">
        <v>45289</v>
      </c>
      <c r="K2" s="25">
        <v>45380</v>
      </c>
      <c r="L2" s="25">
        <v>45471</v>
      </c>
      <c r="M2" s="25">
        <v>45562</v>
      </c>
      <c r="N2" s="25">
        <v>45653</v>
      </c>
      <c r="O2" s="25">
        <v>45744</v>
      </c>
      <c r="P2" s="25">
        <v>45835</v>
      </c>
      <c r="X2" s="25">
        <v>44743</v>
      </c>
      <c r="Y2" s="25">
        <v>45107</v>
      </c>
      <c r="Z2" s="25">
        <v>45471</v>
      </c>
      <c r="AA2" s="25">
        <f>+P2</f>
        <v>45835</v>
      </c>
    </row>
    <row r="3" spans="2:32" s="20" customFormat="1" x14ac:dyDescent="0.2">
      <c r="B3" s="19"/>
      <c r="L3" s="21">
        <v>37469</v>
      </c>
      <c r="M3" s="21">
        <v>45931</v>
      </c>
      <c r="N3" s="21">
        <v>45292</v>
      </c>
      <c r="O3" s="21">
        <v>45779</v>
      </c>
      <c r="P3" s="21">
        <v>47300</v>
      </c>
      <c r="Z3" s="21">
        <v>37469</v>
      </c>
      <c r="AA3" s="21">
        <f>+P3</f>
        <v>47300</v>
      </c>
    </row>
    <row r="4" spans="2:32" s="32" customFormat="1" x14ac:dyDescent="0.2">
      <c r="B4" s="31" t="s">
        <v>102</v>
      </c>
      <c r="I4" s="32">
        <f>+SUM(I5:I7)</f>
        <v>1454</v>
      </c>
      <c r="J4" s="32">
        <f>+SUM(J5:J7)</f>
        <v>1555</v>
      </c>
      <c r="K4" s="32">
        <f>+SUM(K5:K7)</f>
        <v>1655</v>
      </c>
      <c r="M4" s="32">
        <f>+SUM(M5:M7)</f>
        <v>2168</v>
      </c>
      <c r="N4" s="32">
        <f>+SUM(N5:N7)</f>
        <v>2325</v>
      </c>
      <c r="O4" s="32">
        <f>+SUM(O5:O7)</f>
        <v>2160</v>
      </c>
      <c r="X4" s="32">
        <f t="shared" ref="X4:Z4" si="0">+SUM(X5:X7)</f>
        <v>0</v>
      </c>
      <c r="Y4" s="32">
        <f t="shared" si="0"/>
        <v>0</v>
      </c>
      <c r="Z4" s="32">
        <f t="shared" si="0"/>
        <v>0</v>
      </c>
    </row>
    <row r="5" spans="2:32" s="29" customFormat="1" x14ac:dyDescent="0.2">
      <c r="B5" s="30" t="s">
        <v>103</v>
      </c>
      <c r="I5" s="29">
        <v>1032</v>
      </c>
      <c r="J5" s="29">
        <v>1140</v>
      </c>
      <c r="K5" s="29">
        <v>1236</v>
      </c>
      <c r="M5" s="29">
        <v>1749</v>
      </c>
      <c r="N5" s="29">
        <v>1841</v>
      </c>
      <c r="O5" s="29">
        <v>1711</v>
      </c>
    </row>
    <row r="6" spans="2:32" s="29" customFormat="1" x14ac:dyDescent="0.2">
      <c r="B6" s="30" t="s">
        <v>104</v>
      </c>
      <c r="I6" s="29">
        <v>266</v>
      </c>
      <c r="J6" s="29">
        <v>218</v>
      </c>
      <c r="K6" s="29">
        <v>252</v>
      </c>
      <c r="M6" s="29">
        <v>248</v>
      </c>
      <c r="N6" s="29">
        <v>278</v>
      </c>
      <c r="O6" s="29">
        <v>264</v>
      </c>
    </row>
    <row r="7" spans="2:32" s="29" customFormat="1" x14ac:dyDescent="0.2">
      <c r="B7" s="30" t="s">
        <v>105</v>
      </c>
      <c r="I7" s="29">
        <v>156</v>
      </c>
      <c r="J7" s="29">
        <v>197</v>
      </c>
      <c r="K7" s="29">
        <v>167</v>
      </c>
      <c r="M7" s="29">
        <v>171</v>
      </c>
      <c r="N7" s="29">
        <v>206</v>
      </c>
      <c r="O7" s="29">
        <v>185</v>
      </c>
    </row>
    <row r="8" spans="2:32" s="32" customFormat="1" x14ac:dyDescent="0.2">
      <c r="B8" s="31" t="s">
        <v>101</v>
      </c>
      <c r="I8" s="32">
        <f>+SUM(I9:I12)</f>
        <v>1454</v>
      </c>
      <c r="J8" s="32">
        <f>+SUM(J9:J12)</f>
        <v>1555</v>
      </c>
      <c r="K8" s="32">
        <f>+SUM(K9:K12)</f>
        <v>1655</v>
      </c>
      <c r="M8" s="32">
        <f>+SUM(M9:M12)</f>
        <v>2168</v>
      </c>
      <c r="N8" s="32">
        <f>+SUM(N9:N12)</f>
        <v>2325</v>
      </c>
      <c r="O8" s="32">
        <f>+SUM(O9:O12)</f>
        <v>2160</v>
      </c>
      <c r="X8" s="32">
        <f t="shared" ref="X8:Z8" si="1">+SUM(X9:X12)</f>
        <v>0</v>
      </c>
      <c r="Y8" s="32">
        <f t="shared" si="1"/>
        <v>0</v>
      </c>
      <c r="Z8" s="32">
        <f t="shared" si="1"/>
        <v>0</v>
      </c>
    </row>
    <row r="9" spans="2:32" s="29" customFormat="1" x14ac:dyDescent="0.2">
      <c r="B9" s="30" t="s">
        <v>97</v>
      </c>
      <c r="I9" s="29">
        <v>808</v>
      </c>
      <c r="J9" s="29">
        <v>775</v>
      </c>
      <c r="K9" s="29">
        <v>834</v>
      </c>
      <c r="M9" s="29">
        <v>860</v>
      </c>
      <c r="N9" s="29">
        <v>1034</v>
      </c>
      <c r="O9" s="29">
        <v>847</v>
      </c>
    </row>
    <row r="10" spans="2:32" s="29" customFormat="1" x14ac:dyDescent="0.2">
      <c r="B10" s="30" t="s">
        <v>98</v>
      </c>
      <c r="I10" s="29">
        <v>455</v>
      </c>
      <c r="J10" s="29">
        <v>544</v>
      </c>
      <c r="K10" s="29">
        <v>618</v>
      </c>
      <c r="M10" s="29">
        <v>1097</v>
      </c>
      <c r="N10" s="29">
        <v>1059</v>
      </c>
      <c r="O10" s="29">
        <v>1090</v>
      </c>
    </row>
    <row r="11" spans="2:32" s="29" customFormat="1" x14ac:dyDescent="0.2">
      <c r="B11" s="30" t="s">
        <v>99</v>
      </c>
      <c r="I11" s="29">
        <v>188</v>
      </c>
      <c r="J11" s="29">
        <v>234</v>
      </c>
      <c r="K11" s="29">
        <v>200</v>
      </c>
      <c r="M11" s="29">
        <v>210</v>
      </c>
      <c r="N11" s="29">
        <v>231</v>
      </c>
      <c r="O11" s="29">
        <v>222</v>
      </c>
    </row>
    <row r="12" spans="2:32" s="29" customFormat="1" x14ac:dyDescent="0.2">
      <c r="B12" s="30" t="s">
        <v>100</v>
      </c>
      <c r="I12" s="29">
        <v>3</v>
      </c>
      <c r="J12" s="29">
        <v>2</v>
      </c>
      <c r="K12" s="29">
        <v>3</v>
      </c>
      <c r="M12" s="29">
        <v>1</v>
      </c>
      <c r="N12" s="29">
        <v>1</v>
      </c>
      <c r="O12" s="29">
        <v>1</v>
      </c>
    </row>
    <row r="13" spans="2:32" s="24" customFormat="1" x14ac:dyDescent="0.2">
      <c r="B13" s="24" t="s">
        <v>28</v>
      </c>
      <c r="I13" s="24">
        <v>1454</v>
      </c>
      <c r="J13" s="24">
        <v>1555</v>
      </c>
      <c r="K13" s="24">
        <v>1655</v>
      </c>
      <c r="L13" s="24">
        <f>+Z13-SUM(I13:K13)</f>
        <v>1887</v>
      </c>
      <c r="M13" s="24">
        <v>2168</v>
      </c>
      <c r="N13" s="24">
        <v>2325</v>
      </c>
      <c r="O13" s="24">
        <v>2160</v>
      </c>
      <c r="P13" s="24">
        <v>2444</v>
      </c>
      <c r="Q13" s="24">
        <f>P13*(1+Q32)</f>
        <v>3055</v>
      </c>
      <c r="R13" s="24">
        <f>Q13*(1+R32)</f>
        <v>3818.75</v>
      </c>
      <c r="X13" s="24">
        <v>11661</v>
      </c>
      <c r="Y13" s="24">
        <v>7384</v>
      </c>
      <c r="Z13" s="24">
        <v>6551</v>
      </c>
      <c r="AA13" s="24">
        <f>+SUM(M13:P13)</f>
        <v>9097</v>
      </c>
      <c r="AB13" s="24">
        <v>10160</v>
      </c>
    </row>
    <row r="14" spans="2:32" s="13" customFormat="1" x14ac:dyDescent="0.2">
      <c r="B14" s="13" t="s">
        <v>29</v>
      </c>
      <c r="I14" s="13">
        <v>1305</v>
      </c>
      <c r="J14" s="13">
        <v>1193</v>
      </c>
      <c r="K14" s="13">
        <v>1230</v>
      </c>
      <c r="L14" s="13">
        <f>+Z14-SUM(I14:K14)</f>
        <v>1287</v>
      </c>
      <c r="M14" s="13">
        <v>1454</v>
      </c>
      <c r="N14" s="13">
        <v>1513</v>
      </c>
      <c r="O14" s="13">
        <v>1400</v>
      </c>
      <c r="P14" s="13">
        <v>1530</v>
      </c>
      <c r="X14" s="13">
        <v>8192</v>
      </c>
      <c r="Y14" s="13">
        <v>6033</v>
      </c>
      <c r="Z14" s="13">
        <v>5015</v>
      </c>
      <c r="AA14" s="13">
        <f>+SUM(M14:P14)</f>
        <v>5897</v>
      </c>
    </row>
    <row r="15" spans="2:32" s="24" customFormat="1" x14ac:dyDescent="0.2">
      <c r="B15" s="24" t="s">
        <v>30</v>
      </c>
      <c r="I15" s="24">
        <f t="shared" ref="I15:P15" si="2">I13-I14</f>
        <v>149</v>
      </c>
      <c r="J15" s="24">
        <f t="shared" si="2"/>
        <v>362</v>
      </c>
      <c r="K15" s="24">
        <f t="shared" si="2"/>
        <v>425</v>
      </c>
      <c r="L15" s="24">
        <f t="shared" si="2"/>
        <v>600</v>
      </c>
      <c r="M15" s="24">
        <f t="shared" si="2"/>
        <v>714</v>
      </c>
      <c r="N15" s="24">
        <f t="shared" si="2"/>
        <v>812</v>
      </c>
      <c r="O15" s="24">
        <f t="shared" si="2"/>
        <v>760</v>
      </c>
      <c r="P15" s="24">
        <f t="shared" si="2"/>
        <v>914</v>
      </c>
      <c r="X15" s="24">
        <f t="shared" ref="X15:Y15" si="3">X13-X14</f>
        <v>3469</v>
      </c>
      <c r="Y15" s="24">
        <f t="shared" si="3"/>
        <v>1351</v>
      </c>
      <c r="Z15" s="24">
        <f>Z13-Z14</f>
        <v>1536</v>
      </c>
      <c r="AA15" s="24">
        <f>AA13-AA14</f>
        <v>3200</v>
      </c>
    </row>
    <row r="16" spans="2:32" s="13" customFormat="1" x14ac:dyDescent="0.2">
      <c r="B16" s="13" t="s">
        <v>31</v>
      </c>
      <c r="I16" s="13">
        <v>171</v>
      </c>
      <c r="J16" s="13">
        <v>161</v>
      </c>
      <c r="K16" s="13">
        <v>164</v>
      </c>
      <c r="L16" s="13">
        <f>+Z16-SUM(I16:K16)</f>
        <v>158</v>
      </c>
      <c r="M16" s="13">
        <v>181</v>
      </c>
      <c r="N16" s="13">
        <v>184</v>
      </c>
      <c r="O16" s="13">
        <v>180</v>
      </c>
      <c r="P16" s="13">
        <v>179</v>
      </c>
      <c r="X16" s="13">
        <v>941</v>
      </c>
      <c r="Y16" s="13">
        <v>797</v>
      </c>
      <c r="Z16" s="13">
        <v>654</v>
      </c>
      <c r="AA16" s="13">
        <f>+SUM(M16:P16)</f>
        <v>724</v>
      </c>
    </row>
    <row r="17" spans="2:29" s="13" customFormat="1" x14ac:dyDescent="0.2">
      <c r="B17" s="13" t="s">
        <v>32</v>
      </c>
      <c r="I17" s="13">
        <v>105</v>
      </c>
      <c r="J17" s="13">
        <v>108</v>
      </c>
      <c r="K17" s="13">
        <v>116</v>
      </c>
      <c r="L17" s="13">
        <f>+Z17-SUM(I17:K17)</f>
        <v>131</v>
      </c>
      <c r="M17" s="13">
        <v>129</v>
      </c>
      <c r="N17" s="13">
        <v>139</v>
      </c>
      <c r="O17" s="13">
        <v>139</v>
      </c>
      <c r="P17" s="13">
        <v>154</v>
      </c>
      <c r="X17" s="13">
        <v>559</v>
      </c>
      <c r="Y17" s="13">
        <v>491</v>
      </c>
      <c r="Z17" s="13">
        <v>460</v>
      </c>
      <c r="AA17" s="13">
        <f>+SUM(M17:P17)</f>
        <v>561</v>
      </c>
    </row>
    <row r="18" spans="2:29" s="13" customFormat="1" x14ac:dyDescent="0.2">
      <c r="B18" s="13" t="s">
        <v>33</v>
      </c>
      <c r="I18" s="13">
        <v>2</v>
      </c>
      <c r="J18" s="13">
        <v>-31</v>
      </c>
      <c r="K18" s="13">
        <v>2</v>
      </c>
      <c r="L18" s="13">
        <f>+Z18-SUM(I18:K18)</f>
        <v>-3</v>
      </c>
      <c r="M18" s="13">
        <v>1</v>
      </c>
      <c r="N18" s="13">
        <v>1</v>
      </c>
      <c r="O18" s="13">
        <v>10</v>
      </c>
      <c r="P18" s="13">
        <v>13</v>
      </c>
      <c r="X18" s="13">
        <f>11+3</f>
        <v>14</v>
      </c>
      <c r="Y18" s="13">
        <f>3+300+102</f>
        <v>405</v>
      </c>
      <c r="Z18" s="13">
        <v>-30</v>
      </c>
      <c r="AA18" s="13">
        <f>+SUM(M18:P18)</f>
        <v>25</v>
      </c>
    </row>
    <row r="19" spans="2:29" s="24" customFormat="1" x14ac:dyDescent="0.2">
      <c r="B19" s="24" t="s">
        <v>34</v>
      </c>
      <c r="I19" s="24">
        <f t="shared" ref="I19:P19" si="4">I15-I16-I17-I18</f>
        <v>-129</v>
      </c>
      <c r="J19" s="24">
        <f t="shared" si="4"/>
        <v>124</v>
      </c>
      <c r="K19" s="24">
        <f t="shared" si="4"/>
        <v>143</v>
      </c>
      <c r="L19" s="24">
        <f t="shared" si="4"/>
        <v>314</v>
      </c>
      <c r="M19" s="24">
        <f t="shared" si="4"/>
        <v>403</v>
      </c>
      <c r="N19" s="24">
        <f t="shared" si="4"/>
        <v>488</v>
      </c>
      <c r="O19" s="24">
        <f t="shared" si="4"/>
        <v>431</v>
      </c>
      <c r="P19" s="24">
        <f t="shared" si="4"/>
        <v>568</v>
      </c>
      <c r="X19" s="24">
        <f t="shared" ref="X19:Y19" si="5">X15-X16-X17-X18</f>
        <v>1955</v>
      </c>
      <c r="Y19" s="24">
        <f t="shared" si="5"/>
        <v>-342</v>
      </c>
      <c r="Z19" s="24">
        <f>Z15-Z16-Z17-Z18</f>
        <v>452</v>
      </c>
      <c r="AA19" s="24">
        <f>AA15-AA16-AA17-AA18</f>
        <v>1890</v>
      </c>
    </row>
    <row r="20" spans="2:29" s="13" customFormat="1" x14ac:dyDescent="0.2">
      <c r="B20" s="13" t="s">
        <v>35</v>
      </c>
      <c r="I20" s="13">
        <v>2</v>
      </c>
      <c r="J20" s="13">
        <v>3</v>
      </c>
      <c r="K20" s="13">
        <v>3</v>
      </c>
      <c r="L20" s="13">
        <f>+Z20-SUM(I20:K20)</f>
        <v>7</v>
      </c>
      <c r="M20" s="13">
        <v>7</v>
      </c>
      <c r="N20" s="13">
        <v>8</v>
      </c>
      <c r="O20" s="13">
        <v>4</v>
      </c>
      <c r="P20" s="13">
        <v>6</v>
      </c>
      <c r="X20" s="13">
        <v>2</v>
      </c>
      <c r="Y20" s="13">
        <v>10</v>
      </c>
      <c r="Z20" s="13">
        <v>15</v>
      </c>
      <c r="AA20" s="13">
        <f>+SUM(M20:P20)</f>
        <v>25</v>
      </c>
    </row>
    <row r="21" spans="2:29" s="13" customFormat="1" x14ac:dyDescent="0.2">
      <c r="B21" s="13" t="s">
        <v>36</v>
      </c>
      <c r="I21" s="13">
        <v>84</v>
      </c>
      <c r="J21" s="13">
        <v>84</v>
      </c>
      <c r="K21" s="13">
        <v>82</v>
      </c>
      <c r="L21" s="13">
        <f>+Z21-SUM(I21:K21)</f>
        <v>82</v>
      </c>
      <c r="M21" s="13">
        <v>85</v>
      </c>
      <c r="N21" s="13">
        <v>84</v>
      </c>
      <c r="O21" s="13">
        <v>77</v>
      </c>
      <c r="P21" s="13">
        <v>75</v>
      </c>
      <c r="X21" s="13">
        <v>249</v>
      </c>
      <c r="Y21" s="13">
        <v>313</v>
      </c>
      <c r="Z21" s="13">
        <v>332</v>
      </c>
      <c r="AA21" s="13">
        <f>+SUM(M21:P21)</f>
        <v>321</v>
      </c>
    </row>
    <row r="22" spans="2:29" s="13" customFormat="1" x14ac:dyDescent="0.2">
      <c r="B22" s="13" t="s">
        <v>37</v>
      </c>
      <c r="I22" s="13">
        <v>104</v>
      </c>
      <c r="J22" s="13">
        <v>0</v>
      </c>
      <c r="K22" s="13">
        <v>0</v>
      </c>
      <c r="L22" s="13">
        <f>+Z22-SUM(I22:K22)</f>
        <v>0</v>
      </c>
      <c r="M22" s="13">
        <v>0</v>
      </c>
      <c r="N22" s="13">
        <v>0</v>
      </c>
      <c r="O22" s="13">
        <v>0</v>
      </c>
      <c r="P22" s="13">
        <v>0</v>
      </c>
      <c r="X22" s="13">
        <v>0</v>
      </c>
      <c r="Y22" s="13">
        <v>0</v>
      </c>
      <c r="Z22" s="13">
        <v>104</v>
      </c>
      <c r="AA22" s="13">
        <f>+SUM(M22:P22)</f>
        <v>0</v>
      </c>
    </row>
    <row r="23" spans="2:29" s="13" customFormat="1" x14ac:dyDescent="0.2">
      <c r="B23" s="13" t="s">
        <v>38</v>
      </c>
      <c r="I23" s="13">
        <v>29</v>
      </c>
      <c r="J23" s="13">
        <v>0</v>
      </c>
      <c r="K23" s="13">
        <v>0</v>
      </c>
      <c r="L23" s="13">
        <f>+Z23-SUM(I23:K23)</f>
        <v>0</v>
      </c>
      <c r="M23" s="13">
        <v>0</v>
      </c>
      <c r="N23" s="13">
        <v>0</v>
      </c>
      <c r="O23" s="13">
        <v>4</v>
      </c>
      <c r="P23" s="13">
        <v>0</v>
      </c>
      <c r="X23" s="13">
        <v>0</v>
      </c>
      <c r="Y23" s="13">
        <v>-190</v>
      </c>
      <c r="Z23" s="13">
        <v>29</v>
      </c>
      <c r="AA23" s="13">
        <f>+SUM(M23:P23)</f>
        <v>4</v>
      </c>
    </row>
    <row r="24" spans="2:29" s="13" customFormat="1" x14ac:dyDescent="0.2">
      <c r="B24" s="13" t="s">
        <v>39</v>
      </c>
      <c r="I24" s="13">
        <v>-11</v>
      </c>
      <c r="J24" s="13">
        <v>-47</v>
      </c>
      <c r="K24" s="13">
        <v>-6</v>
      </c>
      <c r="L24" s="13">
        <f>+Z24-SUM(I24:K24)</f>
        <v>299</v>
      </c>
      <c r="M24" s="13">
        <v>-9</v>
      </c>
      <c r="N24" s="13">
        <v>-62</v>
      </c>
      <c r="O24" s="13">
        <v>1</v>
      </c>
      <c r="P24" s="13">
        <f>-3-4</f>
        <v>-7</v>
      </c>
      <c r="X24" s="13">
        <v>-29</v>
      </c>
      <c r="Y24" s="13">
        <v>-41</v>
      </c>
      <c r="Z24" s="13">
        <f>313-78</f>
        <v>235</v>
      </c>
      <c r="AA24" s="13">
        <f>+SUM(M24:P24)</f>
        <v>-77</v>
      </c>
    </row>
    <row r="25" spans="2:29" s="13" customFormat="1" x14ac:dyDescent="0.2">
      <c r="B25" s="13" t="s">
        <v>40</v>
      </c>
      <c r="I25" s="13">
        <f t="shared" ref="I25:P25" si="6">I20-I21+I22-I23+I24</f>
        <v>-18</v>
      </c>
      <c r="J25" s="13">
        <f t="shared" si="6"/>
        <v>-128</v>
      </c>
      <c r="K25" s="13">
        <f t="shared" si="6"/>
        <v>-85</v>
      </c>
      <c r="L25" s="13">
        <f t="shared" si="6"/>
        <v>224</v>
      </c>
      <c r="M25" s="13">
        <f t="shared" si="6"/>
        <v>-87</v>
      </c>
      <c r="N25" s="13">
        <f t="shared" si="6"/>
        <v>-138</v>
      </c>
      <c r="O25" s="13">
        <f t="shared" si="6"/>
        <v>-76</v>
      </c>
      <c r="P25" s="13">
        <f t="shared" si="6"/>
        <v>-76</v>
      </c>
      <c r="X25" s="13">
        <f t="shared" ref="X25:Y25" si="7">X20-X21+X22-X23+X24</f>
        <v>-276</v>
      </c>
      <c r="Y25" s="13">
        <f t="shared" si="7"/>
        <v>-154</v>
      </c>
      <c r="Z25" s="13">
        <f>Z20-Z21+Z22-Z23+Z24</f>
        <v>-7</v>
      </c>
      <c r="AA25" s="13">
        <f>AA20-AA21+AA22-AA23+AA24</f>
        <v>-377</v>
      </c>
    </row>
    <row r="26" spans="2:29" s="13" customFormat="1" x14ac:dyDescent="0.2">
      <c r="B26" s="13" t="s">
        <v>41</v>
      </c>
      <c r="I26" s="13">
        <f t="shared" ref="I26:P26" si="8">I19+I25</f>
        <v>-147</v>
      </c>
      <c r="J26" s="13">
        <f t="shared" si="8"/>
        <v>-4</v>
      </c>
      <c r="K26" s="13">
        <f t="shared" si="8"/>
        <v>58</v>
      </c>
      <c r="L26" s="13">
        <f t="shared" si="8"/>
        <v>538</v>
      </c>
      <c r="M26" s="13">
        <f t="shared" si="8"/>
        <v>316</v>
      </c>
      <c r="N26" s="13">
        <f t="shared" si="8"/>
        <v>350</v>
      </c>
      <c r="O26" s="13">
        <f t="shared" si="8"/>
        <v>355</v>
      </c>
      <c r="P26" s="13">
        <f t="shared" si="8"/>
        <v>492</v>
      </c>
      <c r="X26" s="13">
        <f t="shared" ref="X26:Y26" si="9">X19+X25</f>
        <v>1679</v>
      </c>
      <c r="Y26" s="13">
        <f t="shared" si="9"/>
        <v>-496</v>
      </c>
      <c r="Z26" s="13">
        <f>Z19+Z25</f>
        <v>445</v>
      </c>
      <c r="AA26" s="13">
        <f>AA19+AA25</f>
        <v>1513</v>
      </c>
    </row>
    <row r="27" spans="2:29" s="13" customFormat="1" x14ac:dyDescent="0.2">
      <c r="B27" s="13" t="s">
        <v>42</v>
      </c>
      <c r="I27" s="13">
        <v>37</v>
      </c>
      <c r="J27" s="13">
        <v>15</v>
      </c>
      <c r="K27" s="13">
        <v>33</v>
      </c>
      <c r="L27" s="13">
        <f>+Z27-SUM(I27:K27)</f>
        <v>25</v>
      </c>
      <c r="M27" s="13">
        <v>11</v>
      </c>
      <c r="N27" s="13">
        <v>14</v>
      </c>
      <c r="O27" s="13">
        <v>15</v>
      </c>
      <c r="P27" s="13">
        <v>4</v>
      </c>
      <c r="X27" s="13">
        <v>30</v>
      </c>
      <c r="Y27" s="13">
        <v>33</v>
      </c>
      <c r="Z27" s="13">
        <v>110</v>
      </c>
      <c r="AA27" s="13">
        <f>+SUM(M27:P27)</f>
        <v>44</v>
      </c>
    </row>
    <row r="28" spans="2:29" s="24" customFormat="1" x14ac:dyDescent="0.2">
      <c r="B28" s="24" t="s">
        <v>43</v>
      </c>
      <c r="I28" s="24">
        <f t="shared" ref="I28:P28" si="10">I26-I27</f>
        <v>-184</v>
      </c>
      <c r="J28" s="24">
        <f t="shared" si="10"/>
        <v>-19</v>
      </c>
      <c r="K28" s="24">
        <f t="shared" si="10"/>
        <v>25</v>
      </c>
      <c r="L28" s="24">
        <f t="shared" si="10"/>
        <v>513</v>
      </c>
      <c r="M28" s="24">
        <f t="shared" si="10"/>
        <v>305</v>
      </c>
      <c r="N28" s="24">
        <f t="shared" si="10"/>
        <v>336</v>
      </c>
      <c r="O28" s="24">
        <f t="shared" si="10"/>
        <v>340</v>
      </c>
      <c r="P28" s="24">
        <f t="shared" si="10"/>
        <v>488</v>
      </c>
      <c r="X28" s="24">
        <f t="shared" ref="X28:Y28" si="11">X26-X27</f>
        <v>1649</v>
      </c>
      <c r="Y28" s="24">
        <f t="shared" si="11"/>
        <v>-529</v>
      </c>
      <c r="Z28" s="24">
        <f>Z26-Z27</f>
        <v>335</v>
      </c>
      <c r="AA28" s="24">
        <f>AA26-AA27</f>
        <v>1469</v>
      </c>
    </row>
    <row r="29" spans="2:29" s="22" customFormat="1" x14ac:dyDescent="0.2">
      <c r="B29" s="22" t="s">
        <v>44</v>
      </c>
      <c r="I29" s="22">
        <f t="shared" ref="I29:P29" si="12">I28/I30</f>
        <v>-0.88461538461538458</v>
      </c>
      <c r="J29" s="22">
        <f t="shared" si="12"/>
        <v>-9.0909090909090912E-2</v>
      </c>
      <c r="K29" s="22">
        <f t="shared" si="12"/>
        <v>0.11904761904761904</v>
      </c>
      <c r="L29" s="22">
        <f t="shared" si="12"/>
        <v>2.4545454545454546</v>
      </c>
      <c r="M29" s="22">
        <f t="shared" si="12"/>
        <v>1.4454976303317535</v>
      </c>
      <c r="N29" s="22">
        <f t="shared" si="12"/>
        <v>1.5849056603773586</v>
      </c>
      <c r="O29" s="22">
        <f t="shared" si="12"/>
        <v>1.6037735849056605</v>
      </c>
      <c r="P29" s="22">
        <f t="shared" si="12"/>
        <v>2.3018867924528301</v>
      </c>
      <c r="Q29" s="22">
        <v>2.33</v>
      </c>
      <c r="R29" s="22">
        <v>2.56</v>
      </c>
      <c r="X29" s="22">
        <f>+X28/X30</f>
        <v>7.4954545454545451</v>
      </c>
      <c r="Y29" s="22">
        <f>+Y28/Y30</f>
        <v>-2.5555555555555554</v>
      </c>
      <c r="Z29" s="22">
        <f>+Z28/Z30</f>
        <v>1.6028708133971292</v>
      </c>
      <c r="AA29" s="22">
        <f>+AA28/AA30</f>
        <v>6.9292452830188678</v>
      </c>
      <c r="AB29" s="22">
        <v>10.199999999999999</v>
      </c>
      <c r="AC29" s="22">
        <v>12.27</v>
      </c>
    </row>
    <row r="30" spans="2:29" x14ac:dyDescent="0.2">
      <c r="B30" s="1" t="s">
        <v>4</v>
      </c>
      <c r="I30" s="1">
        <v>208</v>
      </c>
      <c r="J30" s="1">
        <v>209</v>
      </c>
      <c r="K30" s="1">
        <v>210</v>
      </c>
      <c r="L30" s="1">
        <f>+Z30</f>
        <v>209</v>
      </c>
      <c r="M30" s="1">
        <v>211</v>
      </c>
      <c r="N30" s="1">
        <v>212</v>
      </c>
      <c r="O30" s="1">
        <v>212</v>
      </c>
      <c r="P30" s="1">
        <v>212</v>
      </c>
      <c r="X30" s="1">
        <v>220</v>
      </c>
      <c r="Y30" s="1">
        <v>207</v>
      </c>
      <c r="Z30" s="1">
        <v>209</v>
      </c>
      <c r="AA30" s="1">
        <f>+P30</f>
        <v>212</v>
      </c>
    </row>
    <row r="32" spans="2:29" s="27" customFormat="1" x14ac:dyDescent="0.2">
      <c r="B32" s="27" t="s">
        <v>45</v>
      </c>
      <c r="M32" s="27">
        <f>M13/I13-1</f>
        <v>0.49105914718019261</v>
      </c>
      <c r="N32" s="27">
        <f>N13/J13-1</f>
        <v>0.49517684887459801</v>
      </c>
      <c r="O32" s="27">
        <f>O13/K13-1</f>
        <v>0.30513595166163143</v>
      </c>
      <c r="P32" s="27">
        <f>P13/L13-1</f>
        <v>0.29517753047164819</v>
      </c>
      <c r="Q32" s="27">
        <v>0.25</v>
      </c>
      <c r="R32" s="27">
        <v>0.25</v>
      </c>
      <c r="Y32" s="27">
        <f>Y13/X13-1</f>
        <v>-0.36677814938684505</v>
      </c>
      <c r="Z32" s="27">
        <f>Z13/Y13-1</f>
        <v>-0.11281148429035748</v>
      </c>
      <c r="AA32" s="27">
        <f>AA13/Z13-1</f>
        <v>0.38864295527400405</v>
      </c>
      <c r="AB32" s="27">
        <f>AB13/AA13-1</f>
        <v>0.11685170935473232</v>
      </c>
    </row>
    <row r="33" spans="2:27" s="34" customFormat="1" x14ac:dyDescent="0.2">
      <c r="B33" s="33" t="s">
        <v>106</v>
      </c>
      <c r="M33" s="34">
        <f t="shared" ref="M33:O35" si="13">M5/I5-1</f>
        <v>0.69476744186046502</v>
      </c>
      <c r="N33" s="34">
        <f t="shared" si="13"/>
        <v>0.61491228070175441</v>
      </c>
      <c r="O33" s="34">
        <f t="shared" si="13"/>
        <v>0.38430420711974111</v>
      </c>
    </row>
    <row r="34" spans="2:27" s="34" customFormat="1" x14ac:dyDescent="0.2">
      <c r="B34" s="33" t="s">
        <v>107</v>
      </c>
      <c r="M34" s="34">
        <f t="shared" si="13"/>
        <v>-6.7669172932330879E-2</v>
      </c>
      <c r="N34" s="34">
        <f t="shared" si="13"/>
        <v>0.27522935779816504</v>
      </c>
      <c r="O34" s="34">
        <f t="shared" si="13"/>
        <v>4.7619047619047672E-2</v>
      </c>
    </row>
    <row r="35" spans="2:27" s="34" customFormat="1" x14ac:dyDescent="0.2">
      <c r="B35" s="33" t="s">
        <v>108</v>
      </c>
      <c r="M35" s="34">
        <f t="shared" si="13"/>
        <v>9.6153846153846256E-2</v>
      </c>
      <c r="N35" s="34">
        <f t="shared" si="13"/>
        <v>4.5685279187817285E-2</v>
      </c>
      <c r="O35" s="34">
        <f t="shared" si="13"/>
        <v>0.10778443113772451</v>
      </c>
    </row>
    <row r="36" spans="2:27" s="34" customFormat="1" x14ac:dyDescent="0.2">
      <c r="B36" s="33" t="s">
        <v>109</v>
      </c>
      <c r="M36" s="34">
        <f t="shared" ref="M36:O39" si="14">M9/I9-1</f>
        <v>6.4356435643564414E-2</v>
      </c>
      <c r="N36" s="34">
        <f t="shared" si="14"/>
        <v>0.33419354838709681</v>
      </c>
      <c r="O36" s="34">
        <f t="shared" si="14"/>
        <v>1.5587529976019088E-2</v>
      </c>
    </row>
    <row r="37" spans="2:27" s="34" customFormat="1" x14ac:dyDescent="0.2">
      <c r="B37" s="33" t="s">
        <v>110</v>
      </c>
      <c r="M37" s="34">
        <f t="shared" si="14"/>
        <v>1.4109890109890109</v>
      </c>
      <c r="N37" s="34">
        <f t="shared" si="14"/>
        <v>0.94669117647058831</v>
      </c>
      <c r="O37" s="34">
        <f t="shared" si="14"/>
        <v>0.7637540453074434</v>
      </c>
    </row>
    <row r="38" spans="2:27" s="34" customFormat="1" x14ac:dyDescent="0.2">
      <c r="B38" s="33" t="s">
        <v>111</v>
      </c>
      <c r="M38" s="34">
        <f t="shared" si="14"/>
        <v>0.11702127659574457</v>
      </c>
      <c r="N38" s="34">
        <f t="shared" si="14"/>
        <v>-1.2820512820512775E-2</v>
      </c>
      <c r="O38" s="34">
        <f t="shared" si="14"/>
        <v>0.1100000000000001</v>
      </c>
    </row>
    <row r="39" spans="2:27" s="34" customFormat="1" x14ac:dyDescent="0.2">
      <c r="B39" s="33" t="s">
        <v>112</v>
      </c>
      <c r="M39" s="34">
        <f t="shared" si="14"/>
        <v>-0.66666666666666674</v>
      </c>
      <c r="N39" s="34">
        <f t="shared" si="14"/>
        <v>-0.5</v>
      </c>
      <c r="O39" s="34">
        <f t="shared" si="14"/>
        <v>-0.66666666666666674</v>
      </c>
    </row>
    <row r="40" spans="2:27" s="23" customFormat="1" x14ac:dyDescent="0.2">
      <c r="B40" s="23" t="s">
        <v>46</v>
      </c>
      <c r="J40" s="23">
        <f t="shared" ref="J40:P40" si="15">J13/I13-1</f>
        <v>6.9463548830811517E-2</v>
      </c>
      <c r="K40" s="23">
        <f t="shared" si="15"/>
        <v>6.4308681672025747E-2</v>
      </c>
      <c r="L40" s="23">
        <f t="shared" si="15"/>
        <v>0.1401812688821753</v>
      </c>
      <c r="M40" s="23">
        <f t="shared" si="15"/>
        <v>0.14891361950185478</v>
      </c>
      <c r="N40" s="23">
        <f t="shared" si="15"/>
        <v>7.2416974169741799E-2</v>
      </c>
      <c r="O40" s="23">
        <f t="shared" si="15"/>
        <v>-7.096774193548383E-2</v>
      </c>
      <c r="P40" s="23">
        <f t="shared" si="15"/>
        <v>0.13148148148148153</v>
      </c>
    </row>
    <row r="42" spans="2:27" s="23" customFormat="1" x14ac:dyDescent="0.2">
      <c r="B42" s="23" t="s">
        <v>47</v>
      </c>
      <c r="I42" s="23">
        <f t="shared" ref="I42:O42" si="16">I15/I13</f>
        <v>0.10247592847317744</v>
      </c>
      <c r="J42" s="23">
        <f t="shared" si="16"/>
        <v>0.23279742765273312</v>
      </c>
      <c r="K42" s="23">
        <f t="shared" si="16"/>
        <v>0.25679758308157102</v>
      </c>
      <c r="L42" s="23">
        <f t="shared" si="16"/>
        <v>0.31796502384737679</v>
      </c>
      <c r="M42" s="23">
        <f t="shared" si="16"/>
        <v>0.32933579335793356</v>
      </c>
      <c r="N42" s="23">
        <f t="shared" si="16"/>
        <v>0.34924731182795699</v>
      </c>
      <c r="O42" s="23">
        <f t="shared" si="16"/>
        <v>0.35185185185185186</v>
      </c>
      <c r="P42" s="23">
        <f t="shared" ref="P42" si="17">P15/P13</f>
        <v>0.3739770867430442</v>
      </c>
      <c r="X42" s="23">
        <f>X15/X13</f>
        <v>0.29748735099905671</v>
      </c>
      <c r="Y42" s="23">
        <f>Y15/Y13</f>
        <v>0.1829631635969664</v>
      </c>
      <c r="Z42" s="23">
        <f>Z15/Z13</f>
        <v>0.23446802014959547</v>
      </c>
      <c r="AA42" s="23">
        <f>AA15/AA13</f>
        <v>0.3517643179070023</v>
      </c>
    </row>
    <row r="43" spans="2:27" s="23" customFormat="1" x14ac:dyDescent="0.2">
      <c r="B43" s="23" t="s">
        <v>48</v>
      </c>
      <c r="I43" s="23">
        <f t="shared" ref="I43:O43" si="18">I19/I13</f>
        <v>-8.8720770288858317E-2</v>
      </c>
      <c r="J43" s="23">
        <f t="shared" si="18"/>
        <v>7.9742765273311894E-2</v>
      </c>
      <c r="K43" s="23">
        <f t="shared" si="18"/>
        <v>8.6404833836858E-2</v>
      </c>
      <c r="L43" s="23">
        <f t="shared" si="18"/>
        <v>0.16640169581346051</v>
      </c>
      <c r="M43" s="23">
        <f t="shared" si="18"/>
        <v>0.18588560885608857</v>
      </c>
      <c r="N43" s="23">
        <f t="shared" si="18"/>
        <v>0.20989247311827958</v>
      </c>
      <c r="O43" s="23">
        <f t="shared" si="18"/>
        <v>0.19953703703703704</v>
      </c>
      <c r="P43" s="23">
        <f t="shared" ref="P43" si="19">P19/P13</f>
        <v>0.23240589198036007</v>
      </c>
      <c r="X43" s="23">
        <f>X19/X13</f>
        <v>0.16765285996055226</v>
      </c>
      <c r="Y43" s="23">
        <f>Y19/Y13</f>
        <v>-4.6316359696641385E-2</v>
      </c>
      <c r="Z43" s="23">
        <f>Z19/Z13</f>
        <v>6.8997099679438248E-2</v>
      </c>
      <c r="AA43" s="23">
        <f>AA19/AA13</f>
        <v>0.20776080026382324</v>
      </c>
    </row>
    <row r="44" spans="2:27" s="23" customFormat="1" x14ac:dyDescent="0.2">
      <c r="B44" s="23" t="s">
        <v>49</v>
      </c>
      <c r="I44" s="23">
        <f t="shared" ref="I44:O44" si="20">I28/I13</f>
        <v>-0.12654745529573591</v>
      </c>
      <c r="J44" s="23">
        <f t="shared" si="20"/>
        <v>-1.2218649517684888E-2</v>
      </c>
      <c r="K44" s="23">
        <f t="shared" si="20"/>
        <v>1.5105740181268883E-2</v>
      </c>
      <c r="L44" s="23">
        <f t="shared" si="20"/>
        <v>0.27186009538950717</v>
      </c>
      <c r="M44" s="23">
        <f t="shared" si="20"/>
        <v>0.14068265682656828</v>
      </c>
      <c r="N44" s="23">
        <f t="shared" si="20"/>
        <v>0.14451612903225808</v>
      </c>
      <c r="O44" s="23">
        <f t="shared" si="20"/>
        <v>0.15740740740740741</v>
      </c>
      <c r="P44" s="23">
        <f t="shared" ref="P44" si="21">P28/P13</f>
        <v>0.19967266775777415</v>
      </c>
      <c r="X44" s="23">
        <f>X28/X13</f>
        <v>0.1414115427493354</v>
      </c>
      <c r="Y44" s="23">
        <f>Y28/Y13</f>
        <v>-7.164138678223185E-2</v>
      </c>
      <c r="Z44" s="23">
        <f>Z28/Z13</f>
        <v>5.1137230957105782E-2</v>
      </c>
      <c r="AA44" s="23">
        <f>AA28/AA13</f>
        <v>0.16148180718918326</v>
      </c>
    </row>
    <row r="45" spans="2:27" s="23" customFormat="1" x14ac:dyDescent="0.2">
      <c r="B45" s="23" t="s">
        <v>50</v>
      </c>
      <c r="I45" s="23">
        <f t="shared" ref="I45:O45" si="22">I27/I26</f>
        <v>-0.25170068027210885</v>
      </c>
      <c r="J45" s="23">
        <f t="shared" si="22"/>
        <v>-3.75</v>
      </c>
      <c r="K45" s="23">
        <f t="shared" si="22"/>
        <v>0.56896551724137934</v>
      </c>
      <c r="L45" s="23">
        <f t="shared" si="22"/>
        <v>4.6468401486988845E-2</v>
      </c>
      <c r="M45" s="23">
        <f t="shared" si="22"/>
        <v>3.4810126582278479E-2</v>
      </c>
      <c r="N45" s="23">
        <f t="shared" si="22"/>
        <v>0.04</v>
      </c>
      <c r="O45" s="23">
        <f t="shared" si="22"/>
        <v>4.2253521126760563E-2</v>
      </c>
      <c r="P45" s="23">
        <f t="shared" ref="P45" si="23">P27/P26</f>
        <v>8.130081300813009E-3</v>
      </c>
      <c r="X45" s="23">
        <f>X27/X26</f>
        <v>1.7867778439547351E-2</v>
      </c>
      <c r="Y45" s="23">
        <f>Y27/Y26</f>
        <v>-6.6532258064516125E-2</v>
      </c>
      <c r="Z45" s="23">
        <f>Z27/Z26</f>
        <v>0.24719101123595505</v>
      </c>
      <c r="AA45" s="23">
        <f>AA27/AA26</f>
        <v>2.9081295439524125E-2</v>
      </c>
    </row>
    <row r="49" spans="2:16" x14ac:dyDescent="0.2">
      <c r="B49" s="28" t="s">
        <v>55</v>
      </c>
    </row>
    <row r="50" spans="2:16" s="24" customFormat="1" x14ac:dyDescent="0.2">
      <c r="B50" s="24" t="s">
        <v>6</v>
      </c>
      <c r="O50" s="24">
        <v>814</v>
      </c>
      <c r="P50" s="24">
        <v>891</v>
      </c>
    </row>
    <row r="51" spans="2:16" s="13" customFormat="1" x14ac:dyDescent="0.2">
      <c r="B51" s="13" t="s">
        <v>56</v>
      </c>
      <c r="O51" s="13">
        <v>622</v>
      </c>
      <c r="P51" s="13">
        <v>959</v>
      </c>
    </row>
    <row r="52" spans="2:16" s="13" customFormat="1" x14ac:dyDescent="0.2">
      <c r="B52" s="13" t="s">
        <v>57</v>
      </c>
      <c r="O52" s="13">
        <v>1472</v>
      </c>
      <c r="P52" s="13">
        <v>1440</v>
      </c>
    </row>
    <row r="53" spans="2:16" s="13" customFormat="1" x14ac:dyDescent="0.2">
      <c r="B53" s="13" t="s">
        <v>58</v>
      </c>
      <c r="O53" s="13">
        <v>374</v>
      </c>
      <c r="P53" s="13">
        <v>363</v>
      </c>
    </row>
    <row r="54" spans="2:16" s="13" customFormat="1" x14ac:dyDescent="0.2">
      <c r="B54" s="13" t="s">
        <v>59</v>
      </c>
      <c r="O54" s="13">
        <f>SUM(O50:O53)</f>
        <v>3282</v>
      </c>
      <c r="P54" s="13">
        <f>SUM(P50:P53)</f>
        <v>3653</v>
      </c>
    </row>
    <row r="55" spans="2:16" s="13" customFormat="1" x14ac:dyDescent="0.2">
      <c r="B55" s="13" t="s">
        <v>60</v>
      </c>
      <c r="O55" s="13">
        <v>1613</v>
      </c>
      <c r="P55" s="13">
        <v>1657</v>
      </c>
    </row>
    <row r="56" spans="2:16" s="13" customFormat="1" x14ac:dyDescent="0.2">
      <c r="B56" s="13" t="s">
        <v>61</v>
      </c>
      <c r="O56" s="13">
        <v>1219</v>
      </c>
      <c r="P56" s="13">
        <v>1221</v>
      </c>
    </row>
    <row r="57" spans="2:16" s="13" customFormat="1" x14ac:dyDescent="0.2">
      <c r="B57" s="13" t="s">
        <v>62</v>
      </c>
      <c r="O57" s="13">
        <v>1026</v>
      </c>
      <c r="P57" s="13">
        <v>1066</v>
      </c>
    </row>
    <row r="58" spans="2:16" s="13" customFormat="1" x14ac:dyDescent="0.2">
      <c r="B58" s="13" t="s">
        <v>63</v>
      </c>
      <c r="O58" s="13">
        <v>424</v>
      </c>
      <c r="P58" s="13">
        <v>426</v>
      </c>
    </row>
    <row r="59" spans="2:16" s="13" customFormat="1" x14ac:dyDescent="0.2">
      <c r="B59" s="13" t="s">
        <v>64</v>
      </c>
      <c r="O59" s="13">
        <f>SUM(O54:O58)</f>
        <v>7564</v>
      </c>
      <c r="P59" s="13">
        <f>SUM(P54:P58)</f>
        <v>8023</v>
      </c>
    </row>
    <row r="60" spans="2:16" s="13" customFormat="1" x14ac:dyDescent="0.2"/>
    <row r="61" spans="2:16" s="13" customFormat="1" x14ac:dyDescent="0.2">
      <c r="B61" s="13" t="s">
        <v>65</v>
      </c>
      <c r="O61" s="13">
        <v>1467</v>
      </c>
      <c r="P61" s="13">
        <v>1604</v>
      </c>
    </row>
    <row r="62" spans="2:16" s="13" customFormat="1" x14ac:dyDescent="0.2">
      <c r="B62" s="13" t="s">
        <v>66</v>
      </c>
      <c r="O62" s="13">
        <v>242</v>
      </c>
      <c r="P62" s="13">
        <v>352</v>
      </c>
    </row>
    <row r="63" spans="2:16" s="13" customFormat="1" x14ac:dyDescent="0.2">
      <c r="B63" s="13" t="s">
        <v>67</v>
      </c>
      <c r="O63" s="13">
        <v>61</v>
      </c>
      <c r="P63" s="13">
        <v>60</v>
      </c>
    </row>
    <row r="64" spans="2:16" s="24" customFormat="1" x14ac:dyDescent="0.2">
      <c r="B64" s="24" t="s">
        <v>68</v>
      </c>
      <c r="O64" s="24">
        <v>0</v>
      </c>
      <c r="P64" s="24">
        <v>0</v>
      </c>
    </row>
    <row r="65" spans="2:16" s="13" customFormat="1" x14ac:dyDescent="0.2">
      <c r="B65" s="13" t="s">
        <v>69</v>
      </c>
      <c r="O65" s="13">
        <v>642</v>
      </c>
      <c r="P65" s="13">
        <v>632</v>
      </c>
    </row>
    <row r="66" spans="2:16" s="13" customFormat="1" x14ac:dyDescent="0.2">
      <c r="B66" s="13" t="s">
        <v>70</v>
      </c>
      <c r="O66" s="13">
        <f>SUM(O61:O65)</f>
        <v>2412</v>
      </c>
      <c r="P66" s="13">
        <f>SUM(P61:P65)</f>
        <v>2648</v>
      </c>
    </row>
    <row r="67" spans="2:16" s="24" customFormat="1" x14ac:dyDescent="0.2">
      <c r="B67" s="24" t="s">
        <v>71</v>
      </c>
      <c r="O67" s="24">
        <v>73</v>
      </c>
      <c r="P67" s="24">
        <v>77</v>
      </c>
    </row>
    <row r="68" spans="2:16" s="13" customFormat="1" x14ac:dyDescent="0.2">
      <c r="B68" s="13" t="s">
        <v>72</v>
      </c>
      <c r="O68" s="13">
        <v>762</v>
      </c>
      <c r="P68" s="13">
        <v>756</v>
      </c>
    </row>
    <row r="69" spans="2:16" s="24" customFormat="1" x14ac:dyDescent="0.2">
      <c r="B69" s="24" t="s">
        <v>73</v>
      </c>
      <c r="O69" s="24">
        <v>5146</v>
      </c>
      <c r="P69" s="24">
        <v>4995</v>
      </c>
    </row>
    <row r="70" spans="2:16" s="13" customFormat="1" x14ac:dyDescent="0.2">
      <c r="B70" s="13" t="s">
        <v>74</v>
      </c>
      <c r="O70" s="13">
        <f>SUM(O66:O69)</f>
        <v>8393</v>
      </c>
      <c r="P70" s="13">
        <f>SUM(P66:P69)</f>
        <v>8476</v>
      </c>
    </row>
    <row r="71" spans="2:16" s="13" customFormat="1" x14ac:dyDescent="0.2"/>
    <row r="72" spans="2:16" s="13" customFormat="1" x14ac:dyDescent="0.2">
      <c r="B72" s="13" t="s">
        <v>75</v>
      </c>
      <c r="O72" s="13">
        <v>-829</v>
      </c>
      <c r="P72" s="13">
        <v>-453</v>
      </c>
    </row>
    <row r="73" spans="2:16" s="13" customFormat="1" x14ac:dyDescent="0.2">
      <c r="B73" s="13" t="s">
        <v>76</v>
      </c>
      <c r="O73" s="13">
        <f>O72+O70</f>
        <v>7564</v>
      </c>
      <c r="P73" s="13">
        <f>P72+P70</f>
        <v>8023</v>
      </c>
    </row>
    <row r="75" spans="2:16" x14ac:dyDescent="0.2">
      <c r="B75" s="1" t="s">
        <v>77</v>
      </c>
      <c r="O75" s="13">
        <f>O59-O70</f>
        <v>-829</v>
      </c>
      <c r="P75" s="13">
        <f>P59-P70</f>
        <v>-453</v>
      </c>
    </row>
    <row r="76" spans="2:16" x14ac:dyDescent="0.2">
      <c r="B76" s="1" t="s">
        <v>78</v>
      </c>
      <c r="O76" s="1">
        <f>O75/O30</f>
        <v>-3.9103773584905661</v>
      </c>
      <c r="P76" s="1">
        <f>P75/P30</f>
        <v>-2.1367924528301887</v>
      </c>
    </row>
    <row r="78" spans="2:16" x14ac:dyDescent="0.2">
      <c r="B78" s="1" t="s">
        <v>6</v>
      </c>
      <c r="O78" s="13">
        <f>O50</f>
        <v>814</v>
      </c>
      <c r="P78" s="13">
        <f>P50</f>
        <v>891</v>
      </c>
    </row>
    <row r="79" spans="2:16" x14ac:dyDescent="0.2">
      <c r="B79" s="1" t="s">
        <v>7</v>
      </c>
      <c r="O79" s="13">
        <f>O64+O67+O69</f>
        <v>5219</v>
      </c>
      <c r="P79" s="13">
        <f>P64+P67+P69</f>
        <v>5072</v>
      </c>
    </row>
    <row r="80" spans="2:16" x14ac:dyDescent="0.2">
      <c r="B80" s="1" t="s">
        <v>8</v>
      </c>
      <c r="O80" s="13">
        <f>O78-O79</f>
        <v>-4405</v>
      </c>
      <c r="P80" s="13">
        <f>P78-P79</f>
        <v>-4181</v>
      </c>
    </row>
    <row r="84" spans="2:27" x14ac:dyDescent="0.2">
      <c r="B84" s="28" t="s">
        <v>114</v>
      </c>
    </row>
    <row r="85" spans="2:27" s="13" customFormat="1" x14ac:dyDescent="0.2">
      <c r="B85" s="13" t="s">
        <v>115</v>
      </c>
      <c r="K85" s="13">
        <v>484</v>
      </c>
      <c r="M85" s="13" t="s">
        <v>126</v>
      </c>
      <c r="N85" s="13" t="s">
        <v>126</v>
      </c>
      <c r="O85" s="52">
        <v>575</v>
      </c>
      <c r="P85" s="13" t="s">
        <v>126</v>
      </c>
      <c r="X85" s="13">
        <v>1657</v>
      </c>
      <c r="Y85" s="13">
        <v>942</v>
      </c>
      <c r="Z85" s="13">
        <v>918</v>
      </c>
      <c r="AA85" s="13">
        <v>1083</v>
      </c>
    </row>
    <row r="86" spans="2:27" s="13" customFormat="1" x14ac:dyDescent="0.2">
      <c r="B86" s="13" t="s">
        <v>119</v>
      </c>
      <c r="K86" s="13">
        <v>200</v>
      </c>
      <c r="O86" s="52">
        <v>182</v>
      </c>
      <c r="X86" s="13">
        <v>381</v>
      </c>
      <c r="Y86" s="13">
        <v>316</v>
      </c>
      <c r="Z86" s="13">
        <v>254</v>
      </c>
      <c r="AA86" s="13">
        <v>265</v>
      </c>
    </row>
    <row r="87" spans="2:27" s="13" customFormat="1" x14ac:dyDescent="0.2">
      <c r="B87" s="13" t="s">
        <v>120</v>
      </c>
      <c r="K87" s="13">
        <f>+K85-K86</f>
        <v>284</v>
      </c>
      <c r="O87" s="52">
        <f>+O85-O86</f>
        <v>393</v>
      </c>
      <c r="X87" s="13">
        <f t="shared" ref="X87:AA87" si="24">+X85-X86</f>
        <v>1276</v>
      </c>
      <c r="Y87" s="13">
        <f t="shared" si="24"/>
        <v>626</v>
      </c>
      <c r="Z87" s="13">
        <f t="shared" si="24"/>
        <v>664</v>
      </c>
      <c r="AA87" s="13">
        <f t="shared" si="24"/>
        <v>818</v>
      </c>
    </row>
    <row r="89" spans="2:27" x14ac:dyDescent="0.2">
      <c r="B89" s="1" t="s">
        <v>121</v>
      </c>
      <c r="X89" s="13">
        <f>X87</f>
        <v>1276</v>
      </c>
      <c r="Y89" s="13">
        <f>Y87</f>
        <v>626</v>
      </c>
      <c r="Z89" s="13">
        <f>Z87</f>
        <v>664</v>
      </c>
      <c r="AA89" s="13">
        <f>AA87</f>
        <v>818</v>
      </c>
    </row>
    <row r="90" spans="2:27" s="47" customFormat="1" x14ac:dyDescent="0.2">
      <c r="B90" s="47" t="s">
        <v>122</v>
      </c>
      <c r="X90" s="47">
        <f>X89/X30</f>
        <v>5.8</v>
      </c>
      <c r="Y90" s="47">
        <f>Y89/Y30</f>
        <v>3.0241545893719808</v>
      </c>
      <c r="Z90" s="47">
        <f>Z89/Z30</f>
        <v>3.1770334928229667</v>
      </c>
      <c r="AA90" s="47">
        <f>AA89/AA30</f>
        <v>3.858490566037736</v>
      </c>
    </row>
    <row r="91" spans="2:27" x14ac:dyDescent="0.2">
      <c r="B91" s="1" t="s">
        <v>123</v>
      </c>
    </row>
  </sheetData>
  <phoneticPr fontId="8" type="noConversion"/>
  <hyperlinks>
    <hyperlink ref="O1" r:id="rId1" location="i6f501b0b8fd7454798c65eb9140df698_22" display="Q125" xr:uid="{143F5CA7-CE9C-4C9D-9977-316514D216B5}"/>
    <hyperlink ref="N1" r:id="rId2" display="Q424" xr:uid="{48A837BF-C9B1-4D77-9836-7B9F12505BE7}"/>
    <hyperlink ref="L1" r:id="rId3" xr:uid="{5E90ACED-FF91-4211-8BDA-8A4C9AA29D20}"/>
    <hyperlink ref="Z1" r:id="rId4" xr:uid="{AE1C6B43-A977-4DC5-B5D3-AFAAB5F8AA44}"/>
    <hyperlink ref="P1" r:id="rId5" xr:uid="{D0C977D0-9973-4C79-BA72-424EC9451109}"/>
  </hyperlinks>
  <pageMargins left="0.7" right="0.7" top="0.75" bottom="0.75" header="0.3" footer="0.3"/>
  <pageSetup orientation="portrait" r:id="rId6"/>
  <ignoredErrors>
    <ignoredError sqref="M8:O8 I8:K8 X8:Z8" formulaRange="1"/>
    <ignoredError sqref="L15:L30 AA15:AA28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me</cp:lastModifiedBy>
  <dcterms:created xsi:type="dcterms:W3CDTF">2025-05-15T22:23:21Z</dcterms:created>
  <dcterms:modified xsi:type="dcterms:W3CDTF">2025-07-31T14:22:40Z</dcterms:modified>
</cp:coreProperties>
</file>