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729C645-7601-1547-BD9C-9FD024B39D03}" xr6:coauthVersionLast="47" xr6:coauthVersionMax="47" xr10:uidLastSave="{00000000-0000-0000-0000-000000000000}"/>
  <bookViews>
    <workbookView xWindow="2000" yWindow="52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  <sheet name="Private Equity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F24" i="1"/>
  <c r="F47" i="1"/>
  <c r="F48" i="1"/>
  <c r="E1" i="6" l="1"/>
  <c r="F1" i="6"/>
  <c r="AL23" i="1"/>
  <c r="AK23" i="1"/>
  <c r="H23" i="1" l="1"/>
  <c r="I23" i="1"/>
  <c r="G23" i="1"/>
  <c r="F23" i="1"/>
  <c r="W17" i="1" l="1"/>
  <c r="AC17" i="1"/>
  <c r="AG17" i="1" l="1"/>
  <c r="V17" i="1" l="1"/>
  <c r="AL17" i="1"/>
  <c r="AK17" i="1"/>
  <c r="F17" i="1"/>
  <c r="F29" i="1" l="1"/>
  <c r="Q11" i="1" l="1"/>
  <c r="P11" i="1"/>
  <c r="O11" i="1"/>
  <c r="N11" i="1"/>
  <c r="AC30" i="1" l="1"/>
  <c r="AB30" i="1"/>
  <c r="AA30" i="1"/>
  <c r="Z30" i="1"/>
  <c r="K30" i="1"/>
  <c r="J30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30" i="1" l="1"/>
  <c r="AL30" i="1"/>
  <c r="I30" i="1"/>
  <c r="G30" i="1"/>
  <c r="F30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K3" i="1" l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G14" i="1" l="1"/>
  <c r="G13" i="1"/>
  <c r="G12" i="1"/>
  <c r="AE4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G9" i="1" l="1"/>
  <c r="F9" i="1"/>
  <c r="P12" i="1" l="1"/>
  <c r="Q12" i="1"/>
  <c r="Q5" i="1"/>
  <c r="Q8" i="1"/>
  <c r="P8" i="1"/>
  <c r="O8" i="1"/>
  <c r="P5" i="1"/>
  <c r="P4" i="1"/>
  <c r="Q4" i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46" i="1"/>
  <c r="P10" i="1" s="1"/>
  <c r="J15" i="1"/>
  <c r="F15" i="1"/>
  <c r="G10" i="1" l="1"/>
  <c r="H10" i="1"/>
  <c r="I10" i="1" l="1"/>
  <c r="L10" i="1"/>
  <c r="AF15" i="1" l="1"/>
  <c r="V15" i="1"/>
  <c r="AA15" i="1" l="1"/>
  <c r="AB15" i="1" l="1"/>
  <c r="N15" i="1"/>
  <c r="Y15" i="1" l="1"/>
  <c r="X15" i="1"/>
  <c r="W15" i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C16" i="1" l="1"/>
  <c r="AB16" i="1" l="1"/>
  <c r="T15" i="1" l="1"/>
  <c r="R15" i="1" l="1"/>
  <c r="G15" i="1" l="1"/>
  <c r="I15" i="1" l="1"/>
  <c r="L15" i="1" l="1"/>
  <c r="S15" i="1" l="1"/>
  <c r="T9" i="1" l="1"/>
  <c r="AF17" i="1" l="1"/>
  <c r="AF1" i="1" s="1"/>
  <c r="AE17" i="1" l="1"/>
  <c r="J17" i="1" l="1"/>
  <c r="K17" i="1"/>
  <c r="AH17" i="1" l="1"/>
  <c r="T17" i="1"/>
  <c r="H17" i="1"/>
  <c r="G17" i="1" l="1"/>
  <c r="Z17" i="1"/>
  <c r="I17" i="1"/>
  <c r="AA17" i="1" l="1"/>
  <c r="AB17" i="1" l="1"/>
  <c r="AE3" i="1"/>
  <c r="H3" i="1" l="1"/>
  <c r="T3" i="1" l="1"/>
  <c r="T1" i="1" s="1"/>
  <c r="Z3" i="1" l="1"/>
  <c r="Z1" i="1" s="1"/>
  <c r="Y3" i="1" l="1"/>
  <c r="Y1" i="1" s="1"/>
  <c r="AA3" i="1"/>
  <c r="AA1" i="1" s="1"/>
  <c r="X3" i="1" l="1"/>
  <c r="X1" i="1" s="1"/>
  <c r="AC3" i="1"/>
  <c r="AC1" i="1" s="1"/>
  <c r="W3" i="1"/>
  <c r="W1" i="1" s="1"/>
  <c r="AH3" i="1"/>
  <c r="AH1" i="1" s="1"/>
  <c r="AB3" i="1" l="1"/>
  <c r="AB1" i="1" s="1"/>
  <c r="O3" i="1" l="1"/>
  <c r="Q3" i="1"/>
  <c r="R3" i="1" l="1"/>
  <c r="R1" i="1" s="1"/>
  <c r="I3" i="1" l="1"/>
  <c r="G3" i="1"/>
  <c r="L3" i="1" l="1"/>
  <c r="P3" i="1" l="1"/>
  <c r="S3" i="1" l="1"/>
  <c r="S1" i="1" s="1"/>
</calcChain>
</file>

<file path=xl/sharedStrings.xml><?xml version="1.0" encoding="utf-8"?>
<sst xmlns="http://schemas.openxmlformats.org/spreadsheetml/2006/main" count="925" uniqueCount="588">
  <si>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</si>
  <si>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</si>
  <si>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</si>
  <si>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</si>
  <si>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</si>
  <si>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</si>
  <si>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</si>
  <si>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</si>
  <si>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</si>
  <si>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</si>
  <si>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</si>
  <si>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</si>
  <si>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</si>
  <si>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</si>
  <si>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</si>
  <si>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</si>
  <si>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</si>
  <si>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</si>
  <si>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</si>
  <si>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</si>
  <si>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</si>
  <si>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</si>
  <si>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</si>
  <si>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</si>
  <si>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</si>
  <si>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</si>
  <si>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</si>
  <si>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</si>
  <si>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</si>
  <si>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</si>
  <si>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</si>
  <si>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</si>
  <si>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</si>
  <si>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</si>
  <si>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</si>
  <si>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</si>
  <si>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</si>
  <si>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</si>
  <si>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</si>
  <si>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</si>
  <si>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</si>
  <si>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</si>
  <si>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</si>
  <si>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</si>
  <si>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</si>
  <si>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</si>
  <si>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</si>
  <si>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</si>
  <si>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</si>
  <si>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</si>
  <si>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</si>
  <si>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</si>
  <si>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</si>
  <si>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</si>
  <si>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</si>
  <si>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</si>
  <si>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</si>
  <si>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</si>
  <si>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</si>
  <si>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</si>
  <si>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</si>
  <si>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</si>
  <si>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</si>
  <si>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</si>
  <si>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</si>
  <si>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</si>
  <si>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</si>
  <si>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</si>
  <si>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</si>
  <si>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</si>
  <si>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</si>
  <si>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</si>
  <si>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</si>
  <si>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</si>
  <si>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</si>
  <si>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</si>
  <si>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</si>
  <si>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</si>
  <si>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</si>
  <si>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</si>
  <si>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</si>
  <si>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</si>
  <si>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</si>
  <si>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</si>
  <si>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</si>
  <si>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</si>
  <si>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</si>
  <si>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</si>
  <si>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</si>
  <si>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</si>
  <si>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</si>
  <si>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</si>
  <si>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</si>
  <si>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</si>
  <si>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</si>
  <si>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</si>
  <si>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</si>
  <si>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</si>
  <si>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</si>
  <si>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</si>
  <si>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</si>
  <si>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</si>
  <si>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</si>
  <si>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</si>
  <si>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</si>
  <si>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</si>
  <si>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</si>
  <si>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</si>
  <si>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</si>
  <si>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</si>
  <si>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</si>
  <si>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</si>
  <si>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</si>
  <si>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</si>
  <si>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</si>
  <si>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</si>
  <si>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</si>
  <si>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</si>
  <si>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</si>
  <si>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</si>
  <si>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</si>
  <si>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</si>
  <si>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</si>
  <si>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</si>
  <si>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</si>
  <si>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</si>
  <si>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</si>
  <si>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</si>
  <si>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</si>
  <si>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</si>
  <si>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</si>
  <si>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</si>
  <si>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</si>
  <si>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</si>
  <si>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</si>
  <si>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</si>
  <si>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</si>
  <si>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</si>
  <si>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</si>
  <si>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</si>
  <si>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</si>
  <si>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</si>
  <si>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</si>
  <si>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</si>
  <si>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</si>
  <si>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</si>
  <si>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</si>
  <si>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</si>
  <si>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</si>
  <si>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</si>
  <si>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</si>
  <si>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</si>
  <si>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</si>
  <si>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</si>
  <si>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</si>
  <si>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</si>
  <si>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</si>
  <si>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</si>
  <si>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</si>
  <si>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</si>
  <si>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</si>
  <si>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</si>
  <si>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</si>
  <si>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</si>
  <si>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</si>
  <si>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</si>
  <si>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</si>
  <si>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</si>
  <si>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</si>
  <si>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</si>
  <si>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</si>
  <si>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</si>
  <si>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</si>
  <si>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</si>
  <si>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</si>
  <si>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</si>
  <si>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</si>
  <si>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</si>
  <si>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</si>
  <si>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</si>
  <si>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</si>
  <si>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</si>
  <si>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</si>
  <si>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</si>
  <si>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</si>
  <si>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</si>
  <si>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</si>
  <si>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</si>
  <si>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</si>
  <si>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</si>
  <si>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</si>
  <si>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</si>
  <si>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</si>
  <si>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</si>
  <si>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</si>
  <si>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</si>
  <si>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</si>
  <si>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</si>
  <si>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</si>
  <si>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</si>
  <si>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</si>
  <si>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</si>
  <si>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</si>
  <si>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</si>
  <si>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</si>
  <si>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</si>
  <si>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</si>
  <si>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</si>
  <si>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</si>
  <si>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</si>
  <si>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</si>
  <si>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</si>
  <si>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</si>
  <si>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</si>
  <si>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</si>
  <si>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</si>
  <si>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</si>
  <si>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</si>
  <si>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</si>
  <si>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</si>
  <si>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</si>
  <si>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</si>
  <si>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</si>
  <si>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</si>
  <si>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</si>
  <si>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</si>
  <si>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</si>
  <si>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</si>
  <si>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</si>
  <si>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</si>
  <si>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</si>
  <si>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</si>
  <si>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</si>
  <si>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</si>
  <si>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</si>
  <si>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</si>
  <si>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</si>
  <si>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</si>
  <si>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</si>
  <si>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</si>
  <si>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</si>
  <si>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</si>
  <si>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</si>
  <si>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</si>
  <si>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</si>
  <si>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</si>
  <si>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</si>
  <si>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</si>
  <si>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</si>
  <si>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</si>
  <si>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</si>
  <si>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</si>
  <si>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</si>
  <si>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</si>
  <si>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</si>
  <si>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</si>
  <si>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</si>
  <si>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</si>
  <si>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</si>
  <si>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</si>
  <si>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</si>
  <si>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</si>
  <si>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</si>
  <si>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</si>
  <si>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</si>
  <si>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</si>
  <si>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</si>
  <si>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</si>
  <si>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</si>
  <si>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</si>
  <si>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</si>
  <si>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</si>
  <si>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</si>
  <si>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</si>
  <si>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</si>
  <si>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</si>
  <si>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</si>
  <si>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</si>
  <si>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</si>
  <si>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</si>
  <si>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</si>
  <si>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</si>
  <si>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</si>
  <si>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</si>
  <si>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</si>
  <si>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</si>
  <si>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</si>
  <si>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</si>
  <si>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</si>
  <si>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</si>
  <si>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</si>
  <si>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</si>
  <si>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</si>
  <si>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</si>
  <si>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</si>
  <si>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</si>
  <si>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</si>
  <si>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</si>
  <si>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</si>
  <si>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</si>
  <si>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</si>
  <si>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</si>
  <si>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</si>
  <si>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</si>
  <si>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</si>
  <si>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</si>
  <si>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</si>
  <si>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</si>
  <si>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</si>
  <si>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</si>
  <si>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</si>
  <si>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</si>
  <si>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</si>
  <si>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</si>
  <si>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</si>
  <si>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</si>
  <si>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</si>
  <si>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</si>
  <si>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</si>
  <si>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</si>
  <si>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</si>
  <si>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</si>
  <si>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</si>
  <si>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</si>
  <si>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</si>
  <si>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</si>
  <si>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</si>
  <si>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</si>
  <si>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</si>
  <si>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</si>
  <si>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</si>
  <si>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</si>
  <si>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</si>
  <si>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</si>
  <si>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</si>
  <si>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</si>
  <si>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</si>
  <si>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</si>
  <si>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</si>
  <si>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</si>
  <si>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</si>
  <si>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</si>
  <si>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</si>
  <si>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</si>
  <si>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</si>
  <si>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</si>
  <si>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</si>
  <si>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</si>
  <si>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</si>
  <si>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</si>
  <si>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</si>
  <si>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</si>
  <si>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</si>
  <si>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</si>
  <si>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</si>
  <si>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</si>
  <si>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</si>
  <si>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</si>
  <si>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</si>
  <si>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</si>
  <si>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</si>
  <si>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</si>
  <si>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</si>
  <si>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</si>
  <si>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</si>
  <si>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</si>
  <si>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</si>
  <si>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</si>
  <si>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</si>
  <si>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</si>
  <si>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</si>
  <si>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</si>
  <si>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</si>
  <si>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</si>
  <si>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</si>
  <si>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</si>
  <si>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</si>
  <si>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</si>
  <si>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</si>
  <si>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</si>
  <si>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</si>
  <si>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</si>
  <si>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</si>
  <si>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</si>
  <si>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</si>
  <si>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</si>
  <si>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</si>
  <si>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</si>
  <si>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</si>
  <si>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</si>
  <si>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</si>
  <si>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</si>
  <si>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</si>
  <si>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</si>
  <si>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</si>
  <si>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</si>
  <si>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</si>
  <si>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</si>
  <si>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</si>
  <si>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</si>
  <si>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</si>
  <si>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</si>
  <si>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</si>
  <si>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</si>
  <si>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</si>
  <si>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</si>
  <si>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</si>
  <si>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</si>
  <si>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</si>
  <si>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</si>
  <si>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</si>
  <si>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</si>
  <si>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</si>
  <si>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</si>
  <si>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</si>
  <si>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</si>
  <si>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</si>
  <si>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</si>
  <si>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</si>
  <si>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</si>
  <si>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</si>
  <si>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</si>
  <si>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</si>
  <si>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</si>
  <si>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</si>
  <si>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</si>
  <si>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</si>
  <si>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</si>
  <si>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</si>
  <si>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</si>
  <si>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</si>
  <si>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</si>
  <si>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</si>
  <si>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</si>
  <si>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</si>
  <si>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</si>
  <si>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</si>
  <si>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</si>
  <si>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</si>
  <si>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</si>
  <si>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</si>
  <si>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</si>
  <si>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</si>
  <si>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</si>
  <si>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</si>
  <si>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</si>
  <si>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</si>
  <si>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</si>
  <si>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</si>
  <si>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</si>
  <si>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</si>
  <si>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</si>
  <si>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</si>
  <si>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</si>
  <si>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</si>
  <si>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</si>
  <si>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</si>
  <si>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</si>
  <si>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</si>
  <si>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</si>
  <si>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</si>
  <si>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</si>
  <si>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</si>
  <si>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</si>
  <si>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</si>
  <si>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</si>
  <si>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</si>
  <si>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</si>
  <si>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</si>
  <si>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</si>
  <si>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</si>
  <si>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</si>
  <si>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</si>
  <si>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</si>
  <si>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</si>
  <si>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</si>
  <si>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</si>
  <si>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</si>
  <si>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</si>
  <si>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</si>
  <si>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</si>
  <si>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</si>
  <si>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</si>
  <si>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</si>
  <si>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</si>
  <si>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</si>
  <si>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</si>
  <si>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</si>
  <si>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</si>
  <si>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</si>
  <si>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</si>
  <si>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</si>
  <si>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</si>
  <si>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</si>
  <si>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</si>
  <si>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</si>
  <si>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</si>
  <si>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</si>
  <si>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</si>
  <si>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</si>
  <si>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</si>
  <si>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</si>
  <si>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</si>
  <si>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</si>
  <si>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</si>
  <si>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</si>
  <si>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</si>
  <si>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</si>
  <si>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</si>
  <si>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</si>
  <si>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</si>
  <si>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</si>
  <si>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</si>
  <si>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</si>
  <si>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</si>
  <si>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</si>
  <si>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</si>
  <si>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</si>
  <si>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</si>
  <si>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</si>
  <si>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</si>
  <si>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</si>
  <si>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</si>
  <si>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</si>
  <si>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</si>
  <si>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</si>
  <si>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</si>
  <si>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</si>
  <si>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</si>
  <si>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</si>
  <si>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</si>
  <si>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</si>
  <si>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</si>
  <si>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</si>
  <si>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</si>
  <si>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</si>
  <si>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</si>
  <si>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</si>
  <si>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</si>
  <si>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</si>
  <si>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</si>
  <si>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</si>
  <si>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</si>
  <si>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</si>
  <si>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</si>
  <si>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</si>
  <si>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</si>
  <si>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</si>
  <si>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</si>
  <si>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</si>
  <si>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</si>
  <si>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</si>
  <si>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</si>
  <si>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</si>
  <si>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</si>
  <si>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Outlet</t>
  </si>
  <si>
    <t>$LULU</t>
  </si>
  <si>
    <t>Luluemon Athletica Inc.</t>
  </si>
  <si>
    <t>Name</t>
  </si>
  <si>
    <t>Description</t>
  </si>
  <si>
    <t>Valuation</t>
  </si>
  <si>
    <t>Fast Retailing Co, Ltd.</t>
  </si>
  <si>
    <t>Japanese Fashion Holding Company</t>
  </si>
  <si>
    <t>Yamaguchi, Japan</t>
  </si>
  <si>
    <t>JPYGBP</t>
  </si>
  <si>
    <t>JPY</t>
  </si>
  <si>
    <t>TSE</t>
  </si>
  <si>
    <t>Footwear</t>
  </si>
  <si>
    <t>DOCS</t>
  </si>
  <si>
    <t>SHOE</t>
  </si>
  <si>
    <t>Shoe Zone Plc</t>
  </si>
  <si>
    <t>Dr. Martens Plc</t>
  </si>
  <si>
    <t>Puma SE</t>
  </si>
  <si>
    <t>XETRA</t>
  </si>
  <si>
    <t>Hugo Boss AG</t>
  </si>
  <si>
    <t>€BOSS</t>
  </si>
  <si>
    <t>€PUM</t>
  </si>
  <si>
    <t>€ADS</t>
  </si>
  <si>
    <t>Addidas AG</t>
  </si>
  <si>
    <t>€</t>
  </si>
  <si>
    <t>$CROX</t>
  </si>
  <si>
    <t>$SKX</t>
  </si>
  <si>
    <t>$FL</t>
  </si>
  <si>
    <t>Screen</t>
  </si>
  <si>
    <t>Fashion (Not Yet Analysed)</t>
  </si>
  <si>
    <t>Crocs Inc</t>
  </si>
  <si>
    <t>Skechers USA Inc</t>
  </si>
  <si>
    <t>Foot Locker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</si>
</sst>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4" fillId="0" borderId="0" xfId="1" applyFont="1" applyFill="1"/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9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14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4" fillId="0" borderId="0" xfId="1" applyFont="1" applyAlignment="1">
      <alignment horizontal="right"/>
    </xf>
    <xf numFmtId="0" fontId="15" fillId="0" borderId="0" xfId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LUL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115.6</v>
          </cell>
        </row>
        <row r="8">
          <cell r="C8">
            <v>180220.4</v>
          </cell>
        </row>
        <row r="11">
          <cell r="C11">
            <v>1190</v>
          </cell>
        </row>
        <row r="12">
          <cell r="C12">
            <v>179030.39999999999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FQ223</v>
          </cell>
          <cell r="D28">
            <v>44915</v>
          </cell>
        </row>
        <row r="33">
          <cell r="C33">
            <v>29.611379424412871</v>
          </cell>
        </row>
        <row r="34">
          <cell r="C34">
            <v>32.200441909854334</v>
          </cell>
        </row>
        <row r="36">
          <cell r="C36">
            <v>11.800707176532216</v>
          </cell>
        </row>
        <row r="38">
          <cell r="C38">
            <v>37.504159682207103</v>
          </cell>
        </row>
      </sheetData>
      <sheetData sheetId="1">
        <row r="21">
          <cell r="AD21">
            <v>2.5390000000000001</v>
          </cell>
          <cell r="AE21">
            <v>5.7269999999999985</v>
          </cell>
          <cell r="AF21">
            <v>6.0459999999999923</v>
          </cell>
        </row>
        <row r="25">
          <cell r="AD25">
            <v>-4.3817266150267264E-2</v>
          </cell>
          <cell r="AE25">
            <v>0.19076009945726247</v>
          </cell>
          <cell r="AF25">
            <v>4.8767344739323759E-2</v>
          </cell>
        </row>
        <row r="34">
          <cell r="X34">
            <v>0.42891475779196397</v>
          </cell>
        </row>
        <row r="35">
          <cell r="X35">
            <v>0.11918888471648527</v>
          </cell>
        </row>
        <row r="36">
          <cell r="X36">
            <v>9.9962448366504045E-2</v>
          </cell>
        </row>
        <row r="37">
          <cell r="X37">
            <v>0.19333333333333316</v>
          </cell>
        </row>
        <row r="72">
          <cell r="X72">
            <v>0.43344604980018442</v>
          </cell>
        </row>
        <row r="73">
          <cell r="X73">
            <v>-3.477540881805008E-2</v>
          </cell>
        </row>
        <row r="85">
          <cell r="AF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1.5638000000000001</v>
          </cell>
        </row>
        <row r="8">
          <cell r="C8">
            <v>128.04249279359999</v>
          </cell>
        </row>
        <row r="11">
          <cell r="C11">
            <v>8.3000000000000007</v>
          </cell>
        </row>
        <row r="12">
          <cell r="C12">
            <v>119.74249279359999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5.2749996825374366</v>
          </cell>
        </row>
        <row r="35">
          <cell r="C35">
            <v>5.6406384490572599</v>
          </cell>
        </row>
        <row r="37">
          <cell r="C37">
            <v>1.2323627795341676</v>
          </cell>
        </row>
        <row r="38">
          <cell r="C38">
            <v>9.7478359051562061E-2</v>
          </cell>
        </row>
        <row r="39">
          <cell r="C39">
            <v>-3.5533429472132991</v>
          </cell>
        </row>
        <row r="42">
          <cell r="C42">
            <v>4.0934845655588719</v>
          </cell>
        </row>
      </sheetData>
      <sheetData sheetId="1">
        <row r="17">
          <cell r="Q17">
            <v>50.700000000000024</v>
          </cell>
          <cell r="R17">
            <v>-98.499999999999972</v>
          </cell>
          <cell r="S17">
            <v>-143.40000000000003</v>
          </cell>
          <cell r="T17">
            <v>-36.099999999999973</v>
          </cell>
        </row>
        <row r="21">
          <cell r="Q21">
            <v>0.15957446808510634</v>
          </cell>
          <cell r="R21">
            <v>-3.4403669724769603E-4</v>
          </cell>
          <cell r="S21">
            <v>-0.19192382700470356</v>
          </cell>
          <cell r="T21">
            <v>-0.21053378762066999</v>
          </cell>
        </row>
        <row r="33">
          <cell r="J33">
            <v>0.5523088023088023</v>
          </cell>
        </row>
        <row r="34">
          <cell r="T34">
            <v>-5.3048012947311589E-2</v>
          </cell>
        </row>
        <row r="35">
          <cell r="T35">
            <v>-6.4916381945693172E-2</v>
          </cell>
        </row>
        <row r="36">
          <cell r="T36">
            <v>1.6348773841961865E-2</v>
          </cell>
        </row>
        <row r="80">
          <cell r="K80">
            <v>-0.16750313676286088</v>
          </cell>
        </row>
        <row r="82">
          <cell r="T82">
            <v>0.26667865491818021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7.1242497285999988</v>
          </cell>
        </row>
        <row r="11">
          <cell r="C11">
            <v>4.2919999999999998</v>
          </cell>
        </row>
        <row r="12">
          <cell r="C12">
            <v>2.832249728599999</v>
          </cell>
        </row>
        <row r="23">
          <cell r="C23" t="str">
            <v>Salford, UK</v>
          </cell>
        </row>
        <row r="24">
          <cell r="C24">
            <v>2013</v>
          </cell>
        </row>
        <row r="26">
          <cell r="C26">
            <v>7.0860000000000003</v>
          </cell>
        </row>
        <row r="28">
          <cell r="C28" t="str">
            <v>FH123</v>
          </cell>
          <cell r="D28">
            <v>44903</v>
          </cell>
        </row>
        <row r="36">
          <cell r="C36">
            <v>0.92751591311027226</v>
          </cell>
        </row>
      </sheetData>
      <sheetData sheetId="1">
        <row r="25">
          <cell r="R25">
            <v>1.3159612495467026</v>
          </cell>
          <cell r="S25">
            <v>0.2821160943965999</v>
          </cell>
        </row>
        <row r="30">
          <cell r="K30">
            <v>0.48510270107591608</v>
          </cell>
        </row>
        <row r="31">
          <cell r="K31">
            <v>-6.8918817244752045E-2</v>
          </cell>
        </row>
        <row r="32">
          <cell r="K32">
            <v>-7.1740275374313406E-2</v>
          </cell>
        </row>
        <row r="33">
          <cell r="S33">
            <v>0.13980582524271826</v>
          </cell>
        </row>
        <row r="67">
          <cell r="K67">
            <v>1.0755711775043935</v>
          </cell>
        </row>
        <row r="68">
          <cell r="K68">
            <v>-1.9718309859153571E-3</v>
          </cell>
        </row>
        <row r="69">
          <cell r="K69">
            <v>0.13101599334381067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331.41</v>
          </cell>
        </row>
        <row r="8">
          <cell r="C8">
            <v>40531.442999999999</v>
          </cell>
        </row>
        <row r="11">
          <cell r="C11">
            <v>0</v>
          </cell>
        </row>
        <row r="12">
          <cell r="C12">
            <v>40531.442999999999</v>
          </cell>
        </row>
        <row r="23">
          <cell r="C23" t="str">
            <v>Vancouver, Canada</v>
          </cell>
        </row>
        <row r="24">
          <cell r="C24">
            <v>1998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18" Type="http://schemas.openxmlformats.org/officeDocument/2006/relationships/hyperlink" Target="https://companiesmarketcap.com/footwear/largest-companies-by-market-cap/" TargetMode="External"/><Relationship Id="rId3" Type="http://schemas.openxmlformats.org/officeDocument/2006/relationships/hyperlink" Target="$UA.xls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hyperlink" Target="$LULU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20" Type="http://schemas.openxmlformats.org/officeDocument/2006/relationships/hyperlink" Target="https://companiesmarketcap.com/clothing/largest-clothing-companies-by-market-cap/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19" Type="http://schemas.openxmlformats.org/officeDocument/2006/relationships/hyperlink" Target="https://companiesmarketcap.com/footwear/largest-companies-by-market-cap/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4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2" customFormat="1" ht="16" thickBot="1" x14ac:dyDescent="0.25">
      <c r="A14" s="113" t="s">
        <v>312</v>
      </c>
      <c r="B14" s="114" t="s">
        <v>302</v>
      </c>
      <c r="C14" s="115" t="s">
        <v>31</v>
      </c>
      <c r="D14" s="116" t="s">
        <v>243</v>
      </c>
      <c r="E14" s="117" t="s">
        <v>313</v>
      </c>
      <c r="F14" s="117" t="s">
        <v>314</v>
      </c>
      <c r="G14" s="117">
        <v>17.72</v>
      </c>
      <c r="H14" s="117">
        <v>4.3499999999999996</v>
      </c>
      <c r="I14" s="118">
        <v>1.39</v>
      </c>
      <c r="J14" s="117" t="s">
        <v>315</v>
      </c>
      <c r="K14" s="119">
        <v>0.92459999999999998</v>
      </c>
      <c r="L14" s="120">
        <v>44776</v>
      </c>
      <c r="M14" s="121" t="s">
        <v>316</v>
      </c>
      <c r="N14" s="119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2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5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98">
        <f>AVERAGE(R3:R16)</f>
        <v>14.953293230057294</v>
      </c>
      <c r="S1" s="98">
        <f>AVERAGE(S3:S16)</f>
        <v>13.123110370046593</v>
      </c>
      <c r="T1" s="98">
        <f>AVERAGE(T3:T17)</f>
        <v>2.7642101449543128</v>
      </c>
      <c r="U1" s="111">
        <f t="shared" ref="U1:AB1" si="0">AVERAGE(U3:U16)</f>
        <v>4.375835462356302E-2</v>
      </c>
      <c r="V1" s="87"/>
      <c r="W1" s="111">
        <f t="shared" si="0"/>
        <v>0.16269385697394553</v>
      </c>
      <c r="X1" s="111">
        <f t="shared" si="0"/>
        <v>6.6649650649978173E-2</v>
      </c>
      <c r="Y1" s="111">
        <f t="shared" si="0"/>
        <v>0.12142079230462149</v>
      </c>
      <c r="Z1" s="88">
        <f>AVERAGE(Z3:Z17)</f>
        <v>0.46898934901498002</v>
      </c>
      <c r="AA1" s="88">
        <f t="shared" si="0"/>
        <v>4.4975127375012261E-2</v>
      </c>
      <c r="AB1" s="88">
        <f t="shared" si="0"/>
        <v>2.5743424183751244E-2</v>
      </c>
      <c r="AC1" s="88">
        <f>AVERAGE(AC3:AC17)</f>
        <v>0.218339323956832</v>
      </c>
      <c r="AD1" s="87"/>
      <c r="AE1" s="89" t="s">
        <v>537</v>
      </c>
      <c r="AF1" s="88">
        <f>AVERAGE(AF3:AF17)</f>
        <v>0.32071271966059578</v>
      </c>
      <c r="AG1" s="88">
        <f>AVERAGE(AG3:AG16)</f>
        <v>4.8531130468231862E-2</v>
      </c>
      <c r="AH1" s="88">
        <f>AVERAGE(AH3:AH16)</f>
        <v>0.241472515171548</v>
      </c>
      <c r="AI1" s="90">
        <f>AVERAGE(AI3:AI16)</f>
        <v>668.36363636363637</v>
      </c>
      <c r="AJ1" s="126">
        <f>AVERAGE(AJ3:AJ16)</f>
        <v>3.8389198675346181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[1]Main!$C$6*$E$46</f>
        <v>95.947999999999993</v>
      </c>
      <c r="G3" s="49">
        <f>[1]Main!$C$8*$E$46</f>
        <v>149582.932</v>
      </c>
      <c r="H3" s="49">
        <f>[1]Main!$C$11*$E$46</f>
        <v>987.69999999999993</v>
      </c>
      <c r="I3" s="49">
        <f>[1]Main!$C$12*$E$46</f>
        <v>148595.23199999999</v>
      </c>
      <c r="J3" s="4" t="str">
        <f>[1]Main!$C$28</f>
        <v>FQ223</v>
      </c>
      <c r="K3" s="85">
        <f>[1]Main!$D$28</f>
        <v>44915</v>
      </c>
      <c r="L3" s="50">
        <f>[1]Main!$C$33</f>
        <v>29.611379424412871</v>
      </c>
      <c r="O3" s="56">
        <f>'[1]Financial Model'!$AF$21*1000*E46</f>
        <v>5018.1799999999939</v>
      </c>
      <c r="P3" s="56">
        <f>'[1]Financial Model'!$AE$21*1000*E46</f>
        <v>4753.409999999998</v>
      </c>
      <c r="Q3" s="56">
        <f>'[1]Financial Model'!$AD$21*1000*E46</f>
        <v>2107.37</v>
      </c>
      <c r="R3" s="51">
        <f>[1]Main!$C$34</f>
        <v>32.200441909854334</v>
      </c>
      <c r="S3" s="51">
        <f>[1]Main!$C$38</f>
        <v>37.504159682207103</v>
      </c>
      <c r="T3" s="51">
        <f>[1]Main!$C$36</f>
        <v>11.800707176532216</v>
      </c>
      <c r="U3" s="53"/>
      <c r="V3" s="53"/>
      <c r="W3" s="53">
        <f>'[1]Financial Model'!$AF$25</f>
        <v>4.8767344739323759E-2</v>
      </c>
      <c r="X3" s="53">
        <f>'[1]Financial Model'!$AE$25</f>
        <v>0.19076009945726247</v>
      </c>
      <c r="Y3" s="53">
        <f>'[1]Financial Model'!$AD$25</f>
        <v>-4.3817266150267264E-2</v>
      </c>
      <c r="Z3" s="53">
        <f>'[1]Financial Model'!$X$34</f>
        <v>0.42891475779196397</v>
      </c>
      <c r="AA3" s="53">
        <f>'[1]Financial Model'!$X$35</f>
        <v>0.11918888471648527</v>
      </c>
      <c r="AB3" s="53">
        <f>'[1]Financial Model'!$X$36</f>
        <v>9.9962448366504045E-2</v>
      </c>
      <c r="AC3" s="53">
        <f>'[1]Financial Model'!$X$37</f>
        <v>0.19333333333333316</v>
      </c>
      <c r="AE3" s="56">
        <f>[1]Main!$C$26*E46</f>
        <v>8019.46</v>
      </c>
      <c r="AF3" s="53">
        <f>'[1]Financial Model'!$X$72</f>
        <v>0.43344604980018442</v>
      </c>
      <c r="AG3" s="53">
        <f>'[1]Financial Model'!$X$73</f>
        <v>-3.477540881805008E-2</v>
      </c>
      <c r="AH3" s="53">
        <f>'[1]Financial Model'!$AF$85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[2]Main!$C$6*$E$46</f>
        <v>27.572599999999998</v>
      </c>
      <c r="G4" s="49">
        <f>[2]Main!$C$8*$E$46</f>
        <v>10689.566148799999</v>
      </c>
      <c r="H4" s="49">
        <f>[2]Main!$C$11*$E$46</f>
        <v>-3872.8090499999998</v>
      </c>
      <c r="I4" s="49">
        <f>[2]Main!$C$12*$E$46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Model'!$AA$22*E46</f>
        <v>1151.127829999999</v>
      </c>
      <c r="P4" s="56">
        <f>'[2]Financial Model'!$Z$22*$E$46</f>
        <v>338.51467000000116</v>
      </c>
      <c r="Q4" s="56">
        <f>'[2]Financial Model'!$Y$22*$E$46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[2]Main!$C$26*E46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1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x14ac:dyDescent="0.15">
      <c r="B7" s="96" t="s">
        <v>526</v>
      </c>
      <c r="C7" s="1" t="s">
        <v>527</v>
      </c>
      <c r="D7" s="4" t="s">
        <v>13</v>
      </c>
      <c r="E7" s="4" t="s">
        <v>15</v>
      </c>
      <c r="F7" s="6">
        <f>[5]Main!$C$6</f>
        <v>8.23</v>
      </c>
      <c r="G7" s="49">
        <f>[5]Main!$C$8</f>
        <v>3884.3565708599999</v>
      </c>
      <c r="H7" s="49">
        <f>[5]Main!$C$11</f>
        <v>-275.20000000000005</v>
      </c>
      <c r="I7" s="49">
        <f>[5]Main!$C$12</f>
        <v>4159.5565708599997</v>
      </c>
      <c r="J7" s="4" t="str">
        <f>[5]Main!$C$29</f>
        <v>FY22</v>
      </c>
      <c r="K7" s="85">
        <f>[5]Main!$D$29</f>
        <v>44765</v>
      </c>
      <c r="L7" s="51">
        <f>[5]Main!$C$36</f>
        <v>0.8656184985037354</v>
      </c>
      <c r="O7" s="1">
        <f>'[5]Financial Model'!$U$24</f>
        <v>256.89999999999992</v>
      </c>
      <c r="P7" s="55">
        <f>'[5]Financial Model'!$T$24</f>
        <v>-77.999999999999801</v>
      </c>
      <c r="Q7" s="55">
        <f>'[5]Financial Model'!$S$24</f>
        <v>100.99999999999994</v>
      </c>
      <c r="R7" s="51">
        <f>[5]Main!$C$35</f>
        <v>15.120111213935388</v>
      </c>
      <c r="S7" s="51">
        <f>'[5]Financial Model'!$U$87</f>
        <v>12.474551050136244</v>
      </c>
      <c r="T7" s="51">
        <f>[5]Main!$C$37</f>
        <v>2.9683299486932606</v>
      </c>
      <c r="U7" s="131">
        <f>[5]Main!$C$38</f>
        <v>0.14142624775276086</v>
      </c>
      <c r="V7" s="53"/>
      <c r="W7" s="53">
        <f>'[5]Financial Model'!$U$28</f>
        <v>0.3254903042506827</v>
      </c>
      <c r="X7" s="53">
        <f>'[5]Financial Model'!$T$28</f>
        <v>-8.3918734522666405E-2</v>
      </c>
      <c r="Y7" s="53">
        <f>'[5]Financial Model'!$S$28</f>
        <v>6.9018612064075224E-2</v>
      </c>
      <c r="Z7" s="53">
        <f>'[5]Financial Model'!$U$31</f>
        <v>0.43466588974673792</v>
      </c>
      <c r="AA7" s="53">
        <f>'[5]Financial Model'!$U$32</f>
        <v>6.8757413689051639E-2</v>
      </c>
      <c r="AB7" s="53">
        <f>'[5]Financial Model'!$U$33</f>
        <v>5.3461802592970245E-2</v>
      </c>
      <c r="AC7" s="53">
        <f>'[5]Financial Model'!$U$34</f>
        <v>0.2345053635280096</v>
      </c>
      <c r="AE7" s="49">
        <f>[5]Main!$C$27</f>
        <v>1277.5999999999999</v>
      </c>
      <c r="AF7" s="53">
        <f>'[5]Financial Model'!$U$76</f>
        <v>0.16505562648185301</v>
      </c>
      <c r="AH7" s="53">
        <f>'[5]Financial Model'!$U$78</f>
        <v>0.26587309845379059</v>
      </c>
      <c r="AI7" s="4">
        <f>[5]Main!$C$26</f>
        <v>0</v>
      </c>
      <c r="AJ7" s="4"/>
      <c r="AK7" s="4">
        <f>[5]Main!$C$24</f>
        <v>1982</v>
      </c>
      <c r="AL7" s="4" t="str">
        <f>[5]Main!$C$23</f>
        <v>Mansfiled, UK</v>
      </c>
      <c r="AM7" s="4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[6]Main!$C$6*E46</f>
        <v>6.8806999999999992</v>
      </c>
      <c r="G8" s="49">
        <f>[6]Main!$C$8*E46</f>
        <v>3126.0533853999996</v>
      </c>
      <c r="H8" s="49">
        <f>[6]Main!$C$11*$E$46</f>
        <v>149.62410000000008</v>
      </c>
      <c r="I8" s="49">
        <f>[6]Main!$C$12*$E$46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Model'!$AA$20*$E$46</f>
        <v>-455.81691000000001</v>
      </c>
      <c r="P8" s="56">
        <f>'[6]Financial Model'!$Z$20*$E$46</f>
        <v>76.477859999999353</v>
      </c>
      <c r="Q8" s="56">
        <f>'[6]Financial Model'!$Y$20*$E$46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1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[6]Main!$C$27*E46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[7]Main!$C$6*E46</f>
        <v>21.189900000000002</v>
      </c>
      <c r="G9" s="49">
        <f>[7]Main!$C$8*$E$46</f>
        <v>1953.161232984</v>
      </c>
      <c r="H9" s="49">
        <f>[7]Main!$C$11*E46</f>
        <v>322.90402999999998</v>
      </c>
      <c r="I9" s="49">
        <f>[7]Main!$C$12*E46</f>
        <v>1630.2572029840001</v>
      </c>
      <c r="J9" s="4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28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[7]Main!$C$26*E46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[8]Main!$C$6*E46</f>
        <v>10.723599999999999</v>
      </c>
      <c r="G10" s="49">
        <f>[8]Main!$C$8*E46</f>
        <v>1932.2747603999996</v>
      </c>
      <c r="H10" s="49">
        <f>[8]Main!$C$11*$E$46</f>
        <v>-230.99563999999998</v>
      </c>
      <c r="I10" s="49">
        <f>[8]Main!$C$12*$E$46</f>
        <v>2163.2704003999997</v>
      </c>
      <c r="J10" s="4" t="str">
        <f>[8]Main!$C$28</f>
        <v>Q222</v>
      </c>
      <c r="K10" s="130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Model'!$Z$17*E46</f>
        <v>348.28957999999989</v>
      </c>
      <c r="P10" s="56">
        <f>'[8]Financial Model'!$Y$17*F46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1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[8]Main!$C$26*E46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1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25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[10]Main!$C$6*E46</f>
        <v>18.7746</v>
      </c>
      <c r="G12" s="49">
        <f>[10]Main!$C$8*E46</f>
        <v>929.07985559999986</v>
      </c>
      <c r="H12" s="49">
        <f>[10]Main!$C$11*E46</f>
        <v>123.55711999999997</v>
      </c>
      <c r="I12" s="49">
        <f>[10]Main!$C$12*E46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Model'!$X$18*E46</f>
        <v>218.29829999999976</v>
      </c>
      <c r="P12" s="56">
        <f>'[10]Financial Model'!$W$18*$E$46</f>
        <v>-94.637430000000123</v>
      </c>
      <c r="Q12" s="56">
        <f>'[10]Financial Model'!$V$18*$E$46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1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Model'!$Q$41*E46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1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3" customFormat="1" x14ac:dyDescent="0.15">
      <c r="B14" s="104" t="s">
        <v>391</v>
      </c>
      <c r="C14" s="103" t="s">
        <v>392</v>
      </c>
      <c r="D14" s="105" t="s">
        <v>13</v>
      </c>
      <c r="E14" s="105" t="s">
        <v>15</v>
      </c>
      <c r="F14" s="106">
        <f>[12]Main!$C$6</f>
        <v>1.0900000000000001</v>
      </c>
      <c r="G14" s="107">
        <f>[12]Main!$C$8</f>
        <v>201.23580000000001</v>
      </c>
      <c r="H14" s="108">
        <f>[12]Main!$C$11</f>
        <v>14.5</v>
      </c>
      <c r="I14" s="108">
        <f>[12]Main!$C$12</f>
        <v>186.73580000000001</v>
      </c>
      <c r="J14" s="105" t="str">
        <f>[12]Main!$C$28</f>
        <v>FY22</v>
      </c>
      <c r="K14" s="105"/>
      <c r="O14" s="110">
        <f>'[12]Financial Model'!$T$19</f>
        <v>-35.494000000000035</v>
      </c>
      <c r="P14" s="110">
        <f>'[12]Financial Model'!$S$19</f>
        <v>-86.51600000000002</v>
      </c>
      <c r="Q14" s="105"/>
      <c r="T14" s="127">
        <f>[12]Main!$C$36</f>
        <v>1.6714759317373831</v>
      </c>
      <c r="U14" s="132">
        <f>[12]Main!$C$35</f>
        <v>-0.16806005801057861</v>
      </c>
      <c r="V14" s="109"/>
      <c r="W14" s="109">
        <f>'[12]Financial Model'!$T$23</f>
        <v>0.20588400900900905</v>
      </c>
      <c r="X14" s="105"/>
      <c r="Y14" s="105"/>
      <c r="Z14" s="109">
        <f>'[12]Financial Model'!$T$26</f>
        <v>0.55486890948567691</v>
      </c>
      <c r="AA14" s="109">
        <f>'[12]Financial Model'!$T$27</f>
        <v>-8.0487007680993719E-2</v>
      </c>
      <c r="AB14" s="109">
        <f>'[12]Financial Model'!$T$28</f>
        <v>-8.2866014521513875E-2</v>
      </c>
      <c r="AC14" s="109">
        <f>'[12]Financial Model'!$T$29</f>
        <v>0.19258416742493159</v>
      </c>
      <c r="AE14" s="110">
        <f>[12]Main!$C$26</f>
        <v>103.071</v>
      </c>
      <c r="AF14" s="109">
        <f>'[12]Financial Model'!$T$74</f>
        <v>0.17328795191694746</v>
      </c>
      <c r="AG14" s="105"/>
      <c r="AH14" s="109">
        <f>'[12]Financial Model'!$T$76</f>
        <v>0.24063455746737328</v>
      </c>
      <c r="AI14" s="105">
        <f>[12]Main!$C$25</f>
        <v>85</v>
      </c>
      <c r="AJ14" s="105"/>
      <c r="AK14" s="105">
        <f>[12]Main!$C$24</f>
        <v>1987</v>
      </c>
      <c r="AL14" s="105" t="str">
        <f>[12]Main!$C$23</f>
        <v>London, UK</v>
      </c>
      <c r="AM14" s="105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1.5638000000000001</v>
      </c>
      <c r="G15" s="49">
        <f>[13]Main!$C$8</f>
        <v>128.04249279359999</v>
      </c>
      <c r="H15" s="49">
        <f>[13]Main!$C$11</f>
        <v>8.3000000000000007</v>
      </c>
      <c r="I15" s="49">
        <f>[13]Main!$C$12</f>
        <v>119.74249279359999</v>
      </c>
      <c r="J15" s="4" t="str">
        <f>[13]Main!$C$29</f>
        <v>FY22</v>
      </c>
      <c r="K15" s="85">
        <f>[13]Main!$D$29</f>
        <v>44841</v>
      </c>
      <c r="L15" s="50">
        <f>[13]Main!$C$34</f>
        <v>5.2749996825374366</v>
      </c>
      <c r="N15" s="1">
        <f xml:space="preserve"> '[13]Financial Model'!$T$17</f>
        <v>-36.099999999999973</v>
      </c>
      <c r="O15" s="1">
        <f>'[13]Financial Model'!$S$17</f>
        <v>-143.40000000000003</v>
      </c>
      <c r="P15" s="1">
        <f>'[13]Financial Model'!$R$17</f>
        <v>-98.499999999999972</v>
      </c>
      <c r="Q15" s="1">
        <f>'[13]Financial Model'!$Q$17</f>
        <v>50.700000000000024</v>
      </c>
      <c r="R15" s="51">
        <f>[13]Main!$C$35</f>
        <v>5.6406384490572599</v>
      </c>
      <c r="S15" s="51">
        <f>[13]Main!$C$39</f>
        <v>-3.5533429472132991</v>
      </c>
      <c r="T15" s="51">
        <f>[13]Main!$C$37</f>
        <v>1.2323627795341676</v>
      </c>
      <c r="U15" s="131">
        <f>[13]Main!$C$38</f>
        <v>9.7478359051562061E-2</v>
      </c>
      <c r="V15" s="53">
        <f xml:space="preserve"> '[13]Financial Model'!$T$21</f>
        <v>-0.21053378762066999</v>
      </c>
      <c r="W15" s="53">
        <f>'[13]Financial Model'!$S$21</f>
        <v>-0.19192382700470356</v>
      </c>
      <c r="X15" s="53">
        <f>'[13]Financial Model'!$R$21</f>
        <v>-3.4403669724769603E-4</v>
      </c>
      <c r="Y15" s="53">
        <f>'[13]Financial Model'!$Q$21</f>
        <v>0.15957446808510634</v>
      </c>
      <c r="Z15" s="53">
        <f>'[13]Financial Model'!$J$33</f>
        <v>0.5523088023088023</v>
      </c>
      <c r="AA15" s="53">
        <f>'[13]Financial Model'!T34</f>
        <v>-5.3048012947311589E-2</v>
      </c>
      <c r="AB15" s="53">
        <f>'[13]Financial Model'!T35</f>
        <v>-6.4916381945693172E-2</v>
      </c>
      <c r="AC15" s="53">
        <f>'[13]Financial Model'!T36</f>
        <v>1.6348773841961865E-2</v>
      </c>
      <c r="AE15" s="56">
        <f>[13]Main!$C$27</f>
        <v>132.69999999999999</v>
      </c>
      <c r="AF15" s="53">
        <f>'[13]Financial Model'!T79</f>
        <v>0</v>
      </c>
      <c r="AG15" s="53">
        <f>'[13]Financial Model'!$K$80</f>
        <v>-0.16750313676286088</v>
      </c>
      <c r="AH15" s="53">
        <f>'[13]Financial Model'!$T$82</f>
        <v>0.26667865491818021</v>
      </c>
      <c r="AI15" s="57">
        <f>[13]Main!$C$26</f>
        <v>220</v>
      </c>
      <c r="AJ15" s="125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99">
        <f>[14]Main!$C$6</f>
        <v>9.2200000000000004E-2</v>
      </c>
      <c r="G16" s="97">
        <f>[14]Main!$C$8</f>
        <v>10.16966</v>
      </c>
      <c r="H16" s="97">
        <f>[14]Main!$C$11</f>
        <v>-6.5050000000000026</v>
      </c>
      <c r="I16" s="97">
        <f>[14]Main!$C$12</f>
        <v>16.674660000000003</v>
      </c>
      <c r="J16" s="100" t="str">
        <f>[14]Main!$C$28</f>
        <v>H122</v>
      </c>
      <c r="K16" s="101">
        <f>[14]Main!$D$28</f>
        <v>44600</v>
      </c>
      <c r="L16" s="123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2">
        <f>[14]Main!$C$37</f>
        <v>5.0560966752336345</v>
      </c>
      <c r="S16" s="102">
        <f>'[14]Financial Model'!$S$80</f>
        <v>3.3990470378499706</v>
      </c>
      <c r="T16" s="102">
        <f>[14]Main!$C$33</f>
        <v>0.20742534761796225</v>
      </c>
      <c r="U16" s="129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 t="s">
        <v>503</v>
      </c>
      <c r="C17" s="1" t="s">
        <v>504</v>
      </c>
      <c r="D17" s="4" t="s">
        <v>489</v>
      </c>
      <c r="E17" s="4" t="s">
        <v>15</v>
      </c>
      <c r="F17" s="7">
        <f>[15]Main!$C$6</f>
        <v>0.13569999999999999</v>
      </c>
      <c r="G17" s="49">
        <f>[15]Main!$C$8</f>
        <v>7.1242497285999988</v>
      </c>
      <c r="H17" s="49">
        <f>[15]Main!$C$11</f>
        <v>4.2919999999999998</v>
      </c>
      <c r="I17" s="49">
        <f>[15]Main!$C$12</f>
        <v>2.832249728599999</v>
      </c>
      <c r="J17" s="4" t="str">
        <f>[15]Main!$C$28</f>
        <v>FH123</v>
      </c>
      <c r="K17" s="85">
        <f>[15]Main!$D$28</f>
        <v>44903</v>
      </c>
      <c r="L17" s="56"/>
      <c r="M17" s="56"/>
      <c r="N17" s="56"/>
      <c r="T17" s="51">
        <f>[15]Main!$C$36</f>
        <v>0.92751591311027226</v>
      </c>
      <c r="V17" s="53">
        <f>'[15]Financial Model'!$S$25</f>
        <v>0.2821160943965999</v>
      </c>
      <c r="W17" s="53">
        <f>'[15]Financial Model'!$R$25</f>
        <v>1.3159612495467026</v>
      </c>
      <c r="Z17" s="53">
        <f>'[15]Financial Model'!$K$30</f>
        <v>0.48510270107591608</v>
      </c>
      <c r="AA17" s="53">
        <f>'[15]Financial Model'!$K$31</f>
        <v>-6.8918817244752045E-2</v>
      </c>
      <c r="AB17" s="53">
        <f>'[15]Financial Model'!$K$32</f>
        <v>-7.1740275374313406E-2</v>
      </c>
      <c r="AC17" s="53">
        <f>'[15]Financial Model'!$S$33</f>
        <v>0.13980582524271826</v>
      </c>
      <c r="AE17" s="56">
        <f>[15]Main!$C$26</f>
        <v>7.0860000000000003</v>
      </c>
      <c r="AF17" s="53">
        <f>'[15]Financial Model'!$K$67</f>
        <v>1.0755711775043935</v>
      </c>
      <c r="AG17" s="53">
        <f>'[15]Financial Model'!$K$68</f>
        <v>-1.9718309859153571E-3</v>
      </c>
      <c r="AH17" s="53">
        <f>'[15]Financial Model'!$K$69</f>
        <v>0.13101599334381067</v>
      </c>
      <c r="AI17" s="4">
        <v>0</v>
      </c>
      <c r="AK17" s="4">
        <f>[15]Main!$C$24</f>
        <v>2013</v>
      </c>
      <c r="AL17" s="4" t="str">
        <f>[15]Main!$C$23</f>
        <v>Salford, UK</v>
      </c>
      <c r="AM17" s="4" t="s">
        <v>555</v>
      </c>
    </row>
    <row r="18" spans="2:39" x14ac:dyDescent="0.15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15">
      <c r="B19" s="139" t="s">
        <v>583</v>
      </c>
      <c r="C19" s="133" t="s">
        <v>584</v>
      </c>
      <c r="F19" s="7"/>
      <c r="G19" s="49"/>
      <c r="H19" s="49"/>
      <c r="I19" s="49"/>
      <c r="L19" s="50"/>
      <c r="R19" s="51"/>
      <c r="S19" s="51"/>
      <c r="T19" s="51"/>
      <c r="U19" s="51"/>
      <c r="V19" s="51"/>
      <c r="W19" s="53"/>
      <c r="X19" s="53"/>
      <c r="Y19" s="53"/>
      <c r="Z19" s="53"/>
      <c r="AA19" s="53"/>
      <c r="AB19" s="53"/>
      <c r="AC19" s="53"/>
      <c r="AE19" s="55"/>
      <c r="AF19" s="53"/>
      <c r="AI19" s="57"/>
      <c r="AJ19" s="57"/>
      <c r="AK19" s="4"/>
      <c r="AL19" s="4"/>
    </row>
    <row r="20" spans="2:39" x14ac:dyDescent="0.15">
      <c r="B20" s="1" t="s">
        <v>12</v>
      </c>
      <c r="C20" s="1" t="s">
        <v>494</v>
      </c>
      <c r="D20" s="4" t="s">
        <v>13</v>
      </c>
      <c r="E20" s="4" t="s">
        <v>15</v>
      </c>
      <c r="G20" s="49"/>
      <c r="H20" s="49"/>
      <c r="I20" s="49"/>
      <c r="J20" s="1"/>
      <c r="L20" s="56"/>
      <c r="M20" s="5"/>
      <c r="N20" s="5"/>
      <c r="AM20" s="4" t="s">
        <v>545</v>
      </c>
    </row>
    <row r="21" spans="2:39" x14ac:dyDescent="0.15">
      <c r="B21" s="1" t="s">
        <v>214</v>
      </c>
      <c r="C21" s="1" t="s">
        <v>488</v>
      </c>
      <c r="D21" s="4" t="s">
        <v>489</v>
      </c>
      <c r="E21" s="4" t="s">
        <v>15</v>
      </c>
      <c r="F21" s="7"/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9" x14ac:dyDescent="0.15">
      <c r="B23" s="3" t="s">
        <v>556</v>
      </c>
      <c r="C23" s="1" t="s">
        <v>557</v>
      </c>
      <c r="D23" s="4" t="s">
        <v>39</v>
      </c>
      <c r="E23" s="4" t="s">
        <v>505</v>
      </c>
      <c r="F23" s="54">
        <f>[16]Main!$C$6*E46</f>
        <v>275.07030000000003</v>
      </c>
      <c r="G23" s="49">
        <f>[16]Main!$C$8*E46</f>
        <v>33641.097689999995</v>
      </c>
      <c r="H23" s="49">
        <f>[16]Main!$C$11*E46</f>
        <v>0</v>
      </c>
      <c r="I23" s="49">
        <f>[16]Main!$C$12*E46</f>
        <v>33641.097689999995</v>
      </c>
      <c r="AK23" s="4">
        <f>[16]Main!$C$24</f>
        <v>1998</v>
      </c>
      <c r="AL23" s="4" t="str">
        <f>[16]Main!$C$23</f>
        <v>Vancouver, Canada</v>
      </c>
      <c r="AM23" s="4" t="s">
        <v>549</v>
      </c>
    </row>
    <row r="24" spans="2:39" x14ac:dyDescent="0.15">
      <c r="B24" s="135">
        <v>9983</v>
      </c>
      <c r="C24" s="1" t="s">
        <v>561</v>
      </c>
      <c r="D24" s="4" t="s">
        <v>566</v>
      </c>
      <c r="E24" s="4" t="s">
        <v>565</v>
      </c>
      <c r="F24" s="54">
        <f>81600*E48</f>
        <v>489.6</v>
      </c>
      <c r="G24" s="49"/>
      <c r="H24" s="49"/>
      <c r="I24" s="49"/>
      <c r="AK24" s="4">
        <v>1949</v>
      </c>
      <c r="AL24" s="4" t="s">
        <v>563</v>
      </c>
      <c r="AM24" s="4" t="s">
        <v>562</v>
      </c>
    </row>
    <row r="25" spans="2:39" x14ac:dyDescent="0.15">
      <c r="B25" s="135" t="s">
        <v>577</v>
      </c>
      <c r="C25" s="1" t="s">
        <v>578</v>
      </c>
      <c r="D25" s="4" t="s">
        <v>573</v>
      </c>
      <c r="E25" s="4" t="s">
        <v>579</v>
      </c>
      <c r="F25" s="54"/>
      <c r="G25" s="49"/>
      <c r="H25" s="49"/>
      <c r="I25" s="49"/>
      <c r="AK25" s="4"/>
      <c r="AL25" s="4"/>
    </row>
    <row r="26" spans="2:39" x14ac:dyDescent="0.15">
      <c r="B26" s="135" t="s">
        <v>576</v>
      </c>
      <c r="C26" s="1" t="s">
        <v>572</v>
      </c>
      <c r="D26" s="4" t="s">
        <v>573</v>
      </c>
      <c r="E26" s="4" t="s">
        <v>579</v>
      </c>
      <c r="F26" s="54"/>
      <c r="G26" s="49"/>
      <c r="H26" s="49"/>
      <c r="I26" s="49"/>
      <c r="AK26" s="4"/>
      <c r="AL26" s="4"/>
    </row>
    <row r="27" spans="2:39" x14ac:dyDescent="0.15">
      <c r="G27" s="49"/>
      <c r="H27" s="49"/>
      <c r="I27" s="4"/>
      <c r="J27" s="1"/>
      <c r="K27" s="1"/>
      <c r="L27" s="56"/>
      <c r="M27" s="56"/>
      <c r="N27" s="56"/>
    </row>
    <row r="28" spans="2:39" x14ac:dyDescent="0.15">
      <c r="B28" s="140" t="s">
        <v>583</v>
      </c>
      <c r="C28" s="133" t="s">
        <v>554</v>
      </c>
      <c r="G28" s="49"/>
      <c r="H28" s="49"/>
      <c r="I28" s="4"/>
      <c r="J28" s="1"/>
      <c r="K28" s="1"/>
      <c r="L28" s="56"/>
      <c r="M28" s="56"/>
      <c r="N28" s="56"/>
    </row>
    <row r="29" spans="2:39" x14ac:dyDescent="0.15">
      <c r="B29" s="1" t="s">
        <v>511</v>
      </c>
      <c r="C29" s="1" t="s">
        <v>512</v>
      </c>
      <c r="D29" s="4" t="s">
        <v>31</v>
      </c>
      <c r="E29" s="4" t="s">
        <v>505</v>
      </c>
      <c r="F29" s="7">
        <f>18.22*E46</f>
        <v>15.122599999999998</v>
      </c>
      <c r="G29" s="49"/>
      <c r="H29" s="49"/>
      <c r="I29" s="4"/>
      <c r="J29" s="1"/>
      <c r="K29" s="1"/>
      <c r="L29" s="56"/>
      <c r="M29" s="56"/>
      <c r="N29" s="56"/>
      <c r="AM29" s="4" t="s">
        <v>553</v>
      </c>
    </row>
    <row r="30" spans="2:39" x14ac:dyDescent="0.15">
      <c r="B30" s="3" t="s">
        <v>540</v>
      </c>
      <c r="C30" s="1" t="s">
        <v>260</v>
      </c>
      <c r="D30" s="4" t="s">
        <v>489</v>
      </c>
      <c r="E30" s="4" t="s">
        <v>15</v>
      </c>
      <c r="F30" s="54">
        <f>[17]Main!$C$6</f>
        <v>20.806000000000001</v>
      </c>
      <c r="G30" s="49">
        <f>[17]Main!$C$8</f>
        <v>8041.1028800000004</v>
      </c>
      <c r="I30" s="84">
        <f>[17]Main!$C$12</f>
        <v>8041.1028800000004</v>
      </c>
      <c r="J30" s="4" t="str">
        <f>[17]Main!$C$29</f>
        <v>H122</v>
      </c>
      <c r="K30" s="85">
        <f>[17]Main!$D$29</f>
        <v>44882</v>
      </c>
      <c r="M30" s="56"/>
      <c r="N30" s="56"/>
      <c r="Z30" s="53">
        <f>'[17]Financial Model'!$K$28</f>
        <v>0.70111524163568772</v>
      </c>
      <c r="AA30" s="53">
        <f>'[17]Financial Model'!$K$29</f>
        <v>0.19553903345724907</v>
      </c>
      <c r="AB30" s="53">
        <f>'[17]Financial Model'!$K$30</f>
        <v>0.14423791821561338</v>
      </c>
      <c r="AC30" s="53">
        <f>'[17]Financial Model'!$K$31</f>
        <v>0.22709163346613545</v>
      </c>
      <c r="AK30" s="4">
        <f>[17]Main!$C$24</f>
        <v>1856</v>
      </c>
      <c r="AL30" s="4" t="str">
        <f>[17]Main!$C$23</f>
        <v>London, UK</v>
      </c>
      <c r="AM30" s="4" t="s">
        <v>552</v>
      </c>
    </row>
    <row r="31" spans="2:39" x14ac:dyDescent="0.15">
      <c r="B31" s="1" t="s">
        <v>541</v>
      </c>
      <c r="C31" s="1" t="s">
        <v>542</v>
      </c>
      <c r="D31" s="4" t="s">
        <v>489</v>
      </c>
      <c r="E31" s="4" t="s">
        <v>15</v>
      </c>
      <c r="F31" s="7">
        <v>2.9</v>
      </c>
      <c r="G31" s="49"/>
      <c r="I31" s="4"/>
      <c r="J31" s="1"/>
      <c r="K31" s="1"/>
      <c r="M31" s="56"/>
      <c r="N31" s="56"/>
      <c r="AM31" s="4" t="s">
        <v>546</v>
      </c>
    </row>
    <row r="32" spans="2:39" x14ac:dyDescent="0.15">
      <c r="B32" s="1" t="s">
        <v>575</v>
      </c>
      <c r="C32" s="1" t="s">
        <v>574</v>
      </c>
      <c r="D32" s="4" t="s">
        <v>573</v>
      </c>
      <c r="E32" s="4" t="s">
        <v>579</v>
      </c>
      <c r="F32" s="7"/>
      <c r="G32" s="49"/>
      <c r="I32" s="4"/>
      <c r="J32" s="1"/>
      <c r="K32" s="1"/>
      <c r="M32" s="56"/>
      <c r="N32" s="56"/>
    </row>
    <row r="33" spans="2:14" x14ac:dyDescent="0.15">
      <c r="G33" s="49"/>
      <c r="I33" s="4"/>
      <c r="J33" s="1"/>
      <c r="K33" s="1"/>
      <c r="M33" s="56"/>
      <c r="N33" s="56"/>
    </row>
    <row r="34" spans="2:14" x14ac:dyDescent="0.15">
      <c r="B34" s="140" t="s">
        <v>583</v>
      </c>
      <c r="C34" s="133" t="s">
        <v>567</v>
      </c>
      <c r="G34" s="49"/>
      <c r="I34" s="4"/>
      <c r="J34" s="1"/>
      <c r="K34" s="1"/>
      <c r="M34" s="56"/>
      <c r="N34" s="56"/>
    </row>
    <row r="35" spans="2:14" x14ac:dyDescent="0.15">
      <c r="B35" s="1" t="s">
        <v>580</v>
      </c>
      <c r="C35" s="1" t="s">
        <v>585</v>
      </c>
      <c r="G35" s="49"/>
      <c r="I35" s="4"/>
      <c r="J35" s="1"/>
      <c r="K35" s="1"/>
      <c r="M35" s="56"/>
      <c r="N35" s="56"/>
    </row>
    <row r="36" spans="2:14" x14ac:dyDescent="0.15">
      <c r="B36" s="1" t="s">
        <v>581</v>
      </c>
      <c r="C36" s="1" t="s">
        <v>586</v>
      </c>
      <c r="G36" s="49"/>
      <c r="I36" s="4"/>
      <c r="J36" s="1"/>
      <c r="K36" s="1"/>
      <c r="M36" s="56"/>
      <c r="N36" s="56"/>
    </row>
    <row r="37" spans="2:14" x14ac:dyDescent="0.15">
      <c r="B37" s="1" t="s">
        <v>582</v>
      </c>
      <c r="C37" s="1" t="s">
        <v>587</v>
      </c>
      <c r="G37" s="49"/>
      <c r="I37" s="4"/>
      <c r="J37" s="1"/>
      <c r="K37" s="1"/>
      <c r="M37" s="56"/>
      <c r="N37" s="56"/>
    </row>
    <row r="38" spans="2:14" x14ac:dyDescent="0.15">
      <c r="B38" s="1" t="s">
        <v>568</v>
      </c>
      <c r="C38" s="1" t="s">
        <v>571</v>
      </c>
      <c r="D38" s="4" t="s">
        <v>13</v>
      </c>
      <c r="E38" s="4" t="s">
        <v>15</v>
      </c>
      <c r="G38" s="49"/>
      <c r="I38" s="4"/>
      <c r="J38" s="1"/>
      <c r="K38" s="1"/>
      <c r="M38" s="56"/>
      <c r="N38" s="56"/>
    </row>
    <row r="39" spans="2:14" x14ac:dyDescent="0.15">
      <c r="B39" s="1" t="s">
        <v>569</v>
      </c>
      <c r="C39" s="1" t="s">
        <v>570</v>
      </c>
      <c r="D39" s="4" t="s">
        <v>489</v>
      </c>
      <c r="E39" s="4" t="s">
        <v>15</v>
      </c>
      <c r="G39" s="49"/>
      <c r="I39" s="4"/>
      <c r="J39" s="1"/>
      <c r="K39" s="1"/>
      <c r="M39" s="56"/>
      <c r="N39" s="56"/>
    </row>
    <row r="40" spans="2:14" x14ac:dyDescent="0.15">
      <c r="G40" s="49"/>
      <c r="I40" s="4"/>
      <c r="J40" s="1"/>
      <c r="K40" s="1"/>
      <c r="M40" s="56"/>
      <c r="N40" s="56"/>
    </row>
    <row r="41" spans="2:14" x14ac:dyDescent="0.15">
      <c r="G41" s="49"/>
      <c r="I41" s="4"/>
      <c r="J41" s="1"/>
      <c r="K41" s="1"/>
      <c r="M41" s="56"/>
      <c r="N41" s="56"/>
    </row>
    <row r="42" spans="2:14" x14ac:dyDescent="0.15">
      <c r="G42" s="49"/>
      <c r="I42" s="4"/>
      <c r="J42" s="1"/>
      <c r="K42" s="1"/>
      <c r="M42" s="56"/>
      <c r="N42" s="56"/>
    </row>
    <row r="43" spans="2:14" x14ac:dyDescent="0.15">
      <c r="G43" s="49"/>
      <c r="I43" s="4"/>
      <c r="J43" s="1"/>
      <c r="K43" s="1"/>
      <c r="M43" s="56"/>
      <c r="N43" s="56"/>
    </row>
    <row r="44" spans="2:14" x14ac:dyDescent="0.15">
      <c r="G44" s="49"/>
      <c r="I44" s="4"/>
      <c r="J44" s="1"/>
      <c r="K44" s="1"/>
      <c r="M44" s="56"/>
      <c r="N44" s="56"/>
    </row>
    <row r="45" spans="2:14" x14ac:dyDescent="0.15">
      <c r="D45" s="136" t="s">
        <v>495</v>
      </c>
      <c r="E45" s="137"/>
      <c r="F45" s="42" t="s">
        <v>496</v>
      </c>
      <c r="G45" s="49"/>
      <c r="I45" s="4"/>
      <c r="J45" s="1"/>
      <c r="K45" s="1"/>
    </row>
    <row r="46" spans="2:14" x14ac:dyDescent="0.15">
      <c r="D46" s="43" t="s">
        <v>497</v>
      </c>
      <c r="E46" s="44">
        <v>0.83</v>
      </c>
      <c r="F46" s="45">
        <f>1/E46</f>
        <v>1.2048192771084338</v>
      </c>
      <c r="G46" s="49"/>
      <c r="I46" s="4"/>
      <c r="J46" s="1"/>
      <c r="K46" s="1"/>
    </row>
    <row r="47" spans="2:14" x14ac:dyDescent="0.15">
      <c r="D47" s="43" t="s">
        <v>498</v>
      </c>
      <c r="E47" s="44">
        <v>0.87</v>
      </c>
      <c r="F47" s="45">
        <f>1/E47</f>
        <v>1.1494252873563218</v>
      </c>
      <c r="G47" s="49"/>
      <c r="I47" s="4"/>
      <c r="J47" s="1"/>
      <c r="K47" s="1"/>
    </row>
    <row r="48" spans="2:14" x14ac:dyDescent="0.15">
      <c r="D48" s="46" t="s">
        <v>564</v>
      </c>
      <c r="E48" s="48">
        <v>6.0000000000000001E-3</v>
      </c>
      <c r="F48" s="47">
        <f>1/E48</f>
        <v>166.66666666666666</v>
      </c>
      <c r="G48" s="49"/>
    </row>
    <row r="49" spans="7:7" x14ac:dyDescent="0.15">
      <c r="G49" s="49"/>
    </row>
    <row r="50" spans="7:7" x14ac:dyDescent="0.15">
      <c r="G50" s="49"/>
    </row>
    <row r="51" spans="7:7" x14ac:dyDescent="0.15">
      <c r="G51" s="49"/>
    </row>
    <row r="52" spans="7:7" x14ac:dyDescent="0.15">
      <c r="G52" s="49"/>
    </row>
  </sheetData>
  <mergeCells count="2">
    <mergeCell ref="D45:E45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30" r:id="rId15" xr:uid="{CA134008-3168-4DEA-918C-4560BFF458AB}"/>
    <hyperlink ref="B17" r:id="rId16" xr:uid="{183ACAEF-5A70-4D85-94EE-2D4C25FF95CC}"/>
    <hyperlink ref="B23" r:id="rId17" xr:uid="{226F06AA-680C-4ED4-9C60-0E27D3777D9C}"/>
    <hyperlink ref="B34" r:id="rId18" xr:uid="{4EB45FA7-C446-BB41-AE63-80350FA95328}"/>
    <hyperlink ref="B28" r:id="rId19" xr:uid="{985B34CB-3468-8842-8DCE-6868BEDADF1C}"/>
    <hyperlink ref="B19" r:id="rId20" xr:uid="{8B27DD55-F39A-E042-A7A2-82BE3E8447D7}"/>
  </hyperlinks>
  <pageMargins left="0.7" right="0.7" top="0.75" bottom="0.75" header="0.3" footer="0.3"/>
  <pageSetup paperSize="256" orientation="portrait" horizontalDpi="203" verticalDpi="203" r:id="rId21"/>
  <ignoredErrors>
    <ignoredError sqref="AI12 G12 Z1 T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83D4-A3B8-FA43-9115-0C471E65D93F}">
  <dimension ref="A1:I2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9.1640625" defaultRowHeight="13" x14ac:dyDescent="0.15"/>
  <cols>
    <col min="1" max="1" width="4.1640625" style="1" customWidth="1"/>
    <col min="2" max="2" width="26.5" style="1" bestFit="1" customWidth="1"/>
    <col min="3" max="3" width="9.1640625" style="1"/>
    <col min="4" max="4" width="26.5" style="1" customWidth="1"/>
    <col min="5" max="5" width="9.1640625" style="1"/>
    <col min="6" max="6" width="11.6640625" style="1" bestFit="1" customWidth="1"/>
    <col min="7" max="7" width="9.1640625" style="1"/>
    <col min="8" max="8" width="20.6640625" style="1" bestFit="1" customWidth="1"/>
    <col min="9" max="9" width="36.6640625" style="4" bestFit="1" customWidth="1"/>
    <col min="10" max="16384" width="9.1640625" style="1"/>
  </cols>
  <sheetData>
    <row r="1" spans="1:9" x14ac:dyDescent="0.15">
      <c r="E1" s="90" t="e">
        <f>AVERAGE(E3:E16)</f>
        <v>#DIV/0!</v>
      </c>
      <c r="F1" s="126" t="e">
        <f>AVERAGE(F3:F16)</f>
        <v>#DIV/0!</v>
      </c>
      <c r="G1" s="90"/>
    </row>
    <row r="2" spans="1:9" s="2" customFormat="1" x14ac:dyDescent="0.15">
      <c r="A2" s="1"/>
      <c r="B2" s="5" t="s">
        <v>558</v>
      </c>
      <c r="C2" s="2" t="s">
        <v>560</v>
      </c>
      <c r="D2" s="134" t="s">
        <v>559</v>
      </c>
      <c r="E2" s="5" t="s">
        <v>516</v>
      </c>
      <c r="F2" s="5" t="s">
        <v>543</v>
      </c>
      <c r="G2" s="5" t="s">
        <v>521</v>
      </c>
      <c r="H2" s="5" t="s">
        <v>522</v>
      </c>
      <c r="I2" s="5" t="s">
        <v>538</v>
      </c>
    </row>
    <row r="3" spans="1:9" x14ac:dyDescent="0.15">
      <c r="E3" s="4"/>
      <c r="G3" s="4"/>
      <c r="H3" s="4"/>
    </row>
    <row r="4" spans="1:9" x14ac:dyDescent="0.15">
      <c r="E4" s="4"/>
      <c r="G4" s="4"/>
      <c r="H4" s="4"/>
    </row>
    <row r="5" spans="1:9" x14ac:dyDescent="0.15">
      <c r="E5" s="4"/>
      <c r="G5" s="4"/>
      <c r="H5" s="4"/>
    </row>
    <row r="6" spans="1:9" x14ac:dyDescent="0.15">
      <c r="E6" s="4"/>
      <c r="G6" s="4"/>
      <c r="H6" s="4"/>
    </row>
    <row r="7" spans="1:9" x14ac:dyDescent="0.15">
      <c r="E7" s="4"/>
      <c r="G7" s="4"/>
      <c r="H7" s="4"/>
    </row>
    <row r="8" spans="1:9" x14ac:dyDescent="0.15">
      <c r="E8" s="4"/>
      <c r="G8" s="4"/>
      <c r="H8" s="4"/>
    </row>
    <row r="9" spans="1:9" x14ac:dyDescent="0.15">
      <c r="E9" s="4"/>
      <c r="G9" s="4"/>
      <c r="H9" s="4"/>
    </row>
    <row r="10" spans="1:9" x14ac:dyDescent="0.15">
      <c r="E10" s="4"/>
      <c r="G10" s="4"/>
      <c r="H10" s="4"/>
    </row>
    <row r="11" spans="1:9" x14ac:dyDescent="0.15">
      <c r="E11" s="4"/>
      <c r="G11" s="4"/>
      <c r="H11" s="4"/>
    </row>
    <row r="12" spans="1:9" x14ac:dyDescent="0.15">
      <c r="E12" s="4"/>
      <c r="G12" s="4"/>
      <c r="H12" s="4"/>
    </row>
    <row r="13" spans="1:9" x14ac:dyDescent="0.15">
      <c r="E13" s="4"/>
      <c r="G13" s="4"/>
      <c r="H13" s="4"/>
    </row>
    <row r="14" spans="1:9" x14ac:dyDescent="0.15">
      <c r="E14" s="4"/>
      <c r="G14" s="4"/>
      <c r="H14" s="4"/>
    </row>
    <row r="15" spans="1:9" x14ac:dyDescent="0.15">
      <c r="E15" s="4"/>
      <c r="G15" s="4"/>
      <c r="H15" s="4"/>
    </row>
    <row r="16" spans="1:9" x14ac:dyDescent="0.15">
      <c r="E16" s="4"/>
      <c r="G16" s="4"/>
      <c r="H16" s="4"/>
    </row>
    <row r="17" spans="2:8" x14ac:dyDescent="0.15">
      <c r="E17" s="4"/>
      <c r="G17" s="4"/>
      <c r="H17" s="4"/>
    </row>
    <row r="18" spans="2:8" x14ac:dyDescent="0.15">
      <c r="E18" s="57"/>
      <c r="F18" s="57"/>
      <c r="G18" s="4"/>
      <c r="H18" s="4"/>
    </row>
    <row r="22" spans="2:8" x14ac:dyDescent="0.15">
      <c r="G22" s="4"/>
      <c r="H22" s="4"/>
    </row>
    <row r="24" spans="2:8" x14ac:dyDescent="0.15">
      <c r="B24" s="133" t="s">
        <v>554</v>
      </c>
      <c r="D24" s="133"/>
    </row>
    <row r="26" spans="2:8" x14ac:dyDescent="0.15">
      <c r="G26" s="4"/>
      <c r="H26" s="4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Screener - Apparel, Accessories</vt:lpstr>
      <vt:lpstr>Screener - Apparel Retail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2023-01-12T22:04:10Z</dcterms:modified>
</cp:coreProperties>
</file>