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A1C5B2D8-FEAE-4475-AFB2-7B36604A2DD2}" xr6:coauthVersionLast="47" xr6:coauthVersionMax="47" xr10:uidLastSave="{00000000-0000-0000-0000-000000000000}"/>
  <bookViews>
    <workbookView xWindow="-120" yWindow="-120" windowWidth="29040" windowHeight="15720" xr2:uid="{E461C7AA-D693-45DC-846F-4B1D3C8E259B}"/>
  </bookViews>
  <sheets>
    <sheet name="Main" sheetId="1" r:id="rId1"/>
    <sheet name="Financial Model" sheetId="2" r:id="rId2"/>
    <sheet name="Revenue Breakdown" sheetId="5" r:id="rId3"/>
    <sheet name="Substantial Holdings" sheetId="3" r:id="rId4"/>
    <sheet name="Historical Projection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5" l="1"/>
  <c r="D6" i="5"/>
  <c r="AD15" i="2"/>
  <c r="AC15" i="2"/>
  <c r="AB15" i="2"/>
  <c r="AA15" i="2"/>
  <c r="Z15" i="2"/>
  <c r="Y15" i="2"/>
  <c r="X15" i="2"/>
  <c r="W15" i="2"/>
  <c r="V15" i="2"/>
  <c r="AD14" i="2" l="1"/>
  <c r="AC14" i="2"/>
  <c r="AB14" i="2"/>
  <c r="AA14" i="2"/>
  <c r="Z14" i="2"/>
  <c r="Y14" i="2"/>
  <c r="X14" i="2"/>
  <c r="W14" i="2"/>
  <c r="V14" i="2"/>
  <c r="V23" i="2"/>
  <c r="N7" i="2"/>
  <c r="V4" i="2"/>
  <c r="N4" i="2"/>
  <c r="M30" i="2"/>
  <c r="K30" i="2"/>
  <c r="M28" i="2"/>
  <c r="K28" i="2"/>
  <c r="L31" i="2"/>
  <c r="L30" i="2"/>
  <c r="L29" i="2"/>
  <c r="L28" i="2"/>
  <c r="L26" i="2"/>
  <c r="L25" i="2"/>
  <c r="L24" i="2"/>
  <c r="L23" i="2"/>
  <c r="J31" i="2"/>
  <c r="J30" i="2"/>
  <c r="J29" i="2"/>
  <c r="J28" i="2"/>
  <c r="J26" i="2"/>
  <c r="J25" i="2"/>
  <c r="J24" i="2"/>
  <c r="J23" i="2"/>
  <c r="J20" i="2"/>
  <c r="J21" i="2"/>
  <c r="J18" i="2"/>
  <c r="J16" i="2"/>
  <c r="J17" i="2" s="1"/>
  <c r="J15" i="2"/>
  <c r="J14" i="2"/>
  <c r="J13" i="2"/>
  <c r="J12" i="2"/>
  <c r="J11" i="2"/>
  <c r="J10" i="2"/>
  <c r="J9" i="2"/>
  <c r="J8" i="2"/>
  <c r="J7" i="2"/>
  <c r="J6" i="2"/>
  <c r="J5" i="2"/>
  <c r="J4" i="2"/>
  <c r="J2" i="2"/>
  <c r="L20" i="2"/>
  <c r="L21" i="2"/>
  <c r="L18" i="2"/>
  <c r="L16" i="2"/>
  <c r="L14" i="2"/>
  <c r="L13" i="2"/>
  <c r="L12" i="2"/>
  <c r="L11" i="2"/>
  <c r="L10" i="2"/>
  <c r="L9" i="2"/>
  <c r="L8" i="2"/>
  <c r="L6" i="2"/>
  <c r="L7" i="2" s="1"/>
  <c r="L2" i="2"/>
  <c r="L5" i="2"/>
  <c r="L4" i="2"/>
  <c r="T31" i="2"/>
  <c r="U29" i="2"/>
  <c r="T29" i="2"/>
  <c r="T26" i="2"/>
  <c r="T25" i="2"/>
  <c r="T24" i="2"/>
  <c r="T23" i="2"/>
  <c r="T20" i="2"/>
  <c r="T15" i="2"/>
  <c r="T16" i="2"/>
  <c r="T13" i="2"/>
  <c r="T11" i="2"/>
  <c r="U24" i="2"/>
  <c r="U23" i="2"/>
  <c r="U16" i="2"/>
  <c r="U13" i="2"/>
  <c r="U7" i="2"/>
  <c r="U15" i="2" s="1"/>
  <c r="T7" i="2"/>
  <c r="M31" i="2"/>
  <c r="M29" i="2"/>
  <c r="K31" i="2"/>
  <c r="K29" i="2"/>
  <c r="K26" i="2"/>
  <c r="K25" i="2"/>
  <c r="K24" i="2"/>
  <c r="K20" i="2"/>
  <c r="K16" i="2"/>
  <c r="K15" i="2"/>
  <c r="M20" i="2"/>
  <c r="M26" i="2"/>
  <c r="M25" i="2"/>
  <c r="M24" i="2"/>
  <c r="M16" i="2"/>
  <c r="M15" i="2"/>
  <c r="M7" i="2"/>
  <c r="K7" i="2"/>
  <c r="C7" i="1"/>
  <c r="J19" i="2" l="1"/>
  <c r="L15" i="2"/>
  <c r="L17" i="2" s="1"/>
  <c r="L19" i="2" s="1"/>
  <c r="T17" i="2"/>
  <c r="T19" i="2" s="1"/>
  <c r="U17" i="2"/>
  <c r="K17" i="2"/>
  <c r="K19" i="2" s="1"/>
  <c r="M17" i="2"/>
  <c r="M19" i="2" s="1"/>
  <c r="U19" i="2" l="1"/>
  <c r="U26" i="2"/>
  <c r="I52" i="2"/>
  <c r="I42" i="2"/>
  <c r="I29" i="2"/>
  <c r="U31" i="2" l="1"/>
  <c r="U20" i="2"/>
  <c r="U25" i="2"/>
  <c r="I57" i="2"/>
  <c r="I58" i="2" s="1"/>
  <c r="C38" i="1" s="1"/>
  <c r="I55" i="2"/>
  <c r="D57" i="2"/>
  <c r="V21" i="2" l="1"/>
  <c r="W21" i="2" s="1"/>
  <c r="X21" i="2" s="1"/>
  <c r="Y21" i="2" s="1"/>
  <c r="Z21" i="2" s="1"/>
  <c r="AA21" i="2" s="1"/>
  <c r="AB21" i="2" s="1"/>
  <c r="AC21" i="2" s="1"/>
  <c r="AD21" i="2" s="1"/>
  <c r="S29" i="2" l="1"/>
  <c r="H54" i="2" l="1"/>
  <c r="H53" i="2"/>
  <c r="H51" i="2"/>
  <c r="H50" i="2"/>
  <c r="H49" i="2"/>
  <c r="H48" i="2"/>
  <c r="H47" i="2"/>
  <c r="H46" i="2"/>
  <c r="H45" i="2"/>
  <c r="H44" i="2"/>
  <c r="H43" i="2"/>
  <c r="H41" i="2"/>
  <c r="H40" i="2"/>
  <c r="H39" i="2"/>
  <c r="H38" i="2"/>
  <c r="H37" i="2"/>
  <c r="H36" i="2"/>
  <c r="H35" i="2"/>
  <c r="S52" i="2"/>
  <c r="S55" i="2" s="1"/>
  <c r="H55" i="2" s="1"/>
  <c r="S42" i="2"/>
  <c r="H18" i="2"/>
  <c r="H12" i="2"/>
  <c r="H11" i="2"/>
  <c r="H10" i="2"/>
  <c r="H21" i="2"/>
  <c r="H9" i="2"/>
  <c r="H8" i="2"/>
  <c r="H6" i="2"/>
  <c r="H5" i="2"/>
  <c r="H4" i="2"/>
  <c r="I28" i="2" s="1"/>
  <c r="S16" i="2"/>
  <c r="H16" i="2" s="1"/>
  <c r="S13" i="2"/>
  <c r="S7" i="2"/>
  <c r="H28" i="2" l="1"/>
  <c r="H42" i="2"/>
  <c r="S57" i="2"/>
  <c r="S58" i="2" s="1"/>
  <c r="H7" i="2"/>
  <c r="H52" i="2"/>
  <c r="H13" i="2"/>
  <c r="S15" i="2"/>
  <c r="S23" i="2"/>
  <c r="F10" i="2"/>
  <c r="S24" i="2" l="1"/>
  <c r="S69" i="2"/>
  <c r="H15" i="2"/>
  <c r="S17" i="2"/>
  <c r="S26" i="2" s="1"/>
  <c r="H57" i="2"/>
  <c r="H58" i="2" s="1"/>
  <c r="I7" i="2"/>
  <c r="I15" i="2" s="1"/>
  <c r="I69" i="2" s="1"/>
  <c r="C42" i="1" s="1"/>
  <c r="H23" i="2"/>
  <c r="H17" i="2"/>
  <c r="V10" i="2"/>
  <c r="W10" i="2" s="1"/>
  <c r="X10" i="2" s="1"/>
  <c r="Y10" i="2" s="1"/>
  <c r="Z10" i="2" s="1"/>
  <c r="AA10" i="2" s="1"/>
  <c r="AB10" i="2" s="1"/>
  <c r="AC10" i="2" s="1"/>
  <c r="AD10" i="2" s="1"/>
  <c r="S19" i="2" l="1"/>
  <c r="S20" i="2" s="1"/>
  <c r="H24" i="2"/>
  <c r="I24" i="2"/>
  <c r="I17" i="2"/>
  <c r="H26" i="2"/>
  <c r="H19" i="2"/>
  <c r="H20" i="2" s="1"/>
  <c r="S25" i="2" l="1"/>
  <c r="I26" i="2"/>
  <c r="I19" i="2"/>
  <c r="H25" i="2"/>
  <c r="AG29" i="2"/>
  <c r="V16" i="2"/>
  <c r="W16" i="2" s="1"/>
  <c r="X16" i="2" s="1"/>
  <c r="Y16" i="2" s="1"/>
  <c r="Z16" i="2" s="1"/>
  <c r="AA16" i="2" s="1"/>
  <c r="AB16" i="2" s="1"/>
  <c r="AC16" i="2" s="1"/>
  <c r="AD16" i="2" s="1"/>
  <c r="V12" i="2"/>
  <c r="W12" i="2" s="1"/>
  <c r="X12" i="2" s="1"/>
  <c r="Y12" i="2" s="1"/>
  <c r="Z12" i="2" s="1"/>
  <c r="AA12" i="2" s="1"/>
  <c r="AB12" i="2" s="1"/>
  <c r="AC12" i="2" s="1"/>
  <c r="AD12" i="2" s="1"/>
  <c r="I30" i="2" l="1"/>
  <c r="I20" i="2"/>
  <c r="C37" i="1" s="1"/>
  <c r="I25" i="2"/>
  <c r="F54" i="2" l="1"/>
  <c r="F51" i="2"/>
  <c r="F50" i="2"/>
  <c r="F48" i="2"/>
  <c r="F47" i="2"/>
  <c r="F46" i="2"/>
  <c r="F45" i="2"/>
  <c r="F44" i="2"/>
  <c r="F43" i="2"/>
  <c r="F41" i="2"/>
  <c r="F40" i="2"/>
  <c r="F39" i="2"/>
  <c r="F38" i="2"/>
  <c r="F37" i="2"/>
  <c r="F36" i="2"/>
  <c r="F35" i="2"/>
  <c r="E52" i="2"/>
  <c r="E55" i="2" s="1"/>
  <c r="E42" i="2"/>
  <c r="G52" i="2"/>
  <c r="G55" i="2" s="1"/>
  <c r="G42" i="2"/>
  <c r="G57" i="2" l="1"/>
  <c r="G58" i="2" s="1"/>
  <c r="E57" i="2"/>
  <c r="E58" i="2" s="1"/>
  <c r="F42" i="2"/>
  <c r="F52" i="2"/>
  <c r="F55" i="2" s="1"/>
  <c r="F18" i="2"/>
  <c r="F16" i="2"/>
  <c r="F12" i="2"/>
  <c r="F11" i="2"/>
  <c r="F9" i="2"/>
  <c r="F8" i="2"/>
  <c r="F6" i="2"/>
  <c r="F5" i="2"/>
  <c r="F4" i="2"/>
  <c r="F21" i="2"/>
  <c r="E29" i="2"/>
  <c r="D21" i="2"/>
  <c r="D58" i="2" s="1"/>
  <c r="D18" i="2"/>
  <c r="D4" i="2"/>
  <c r="D16" i="2"/>
  <c r="D12" i="2"/>
  <c r="D11" i="2"/>
  <c r="D10" i="2"/>
  <c r="D9" i="2"/>
  <c r="D8" i="2"/>
  <c r="D5" i="2"/>
  <c r="F57" i="2" l="1"/>
  <c r="F58" i="2" s="1"/>
  <c r="F28" i="2"/>
  <c r="H29" i="2"/>
  <c r="D13" i="2"/>
  <c r="E28" i="2"/>
  <c r="D28" i="2"/>
  <c r="D7" i="2"/>
  <c r="F13" i="2"/>
  <c r="F7" i="2"/>
  <c r="F29" i="2"/>
  <c r="G28" i="2"/>
  <c r="D15" i="2" l="1"/>
  <c r="D23" i="2"/>
  <c r="F23" i="2"/>
  <c r="F15" i="2"/>
  <c r="Q52" i="2"/>
  <c r="Q55" i="2" s="1"/>
  <c r="Q42" i="2"/>
  <c r="Q57" i="2" s="1"/>
  <c r="Q58" i="2" s="1"/>
  <c r="R52" i="2"/>
  <c r="R55" i="2" s="1"/>
  <c r="R42" i="2"/>
  <c r="R57" i="2" s="1"/>
  <c r="R58" i="2" s="1"/>
  <c r="F24" i="2" l="1"/>
  <c r="D17" i="2"/>
  <c r="D19" i="2" s="1"/>
  <c r="D24" i="2"/>
  <c r="F17" i="2"/>
  <c r="F26" i="2" s="1"/>
  <c r="D26" i="2"/>
  <c r="R29" i="2"/>
  <c r="Q29" i="2"/>
  <c r="P13" i="2"/>
  <c r="P7" i="2"/>
  <c r="F19" i="2" l="1"/>
  <c r="D25" i="2"/>
  <c r="D20" i="2"/>
  <c r="P15" i="2"/>
  <c r="P17" i="2" s="1"/>
  <c r="P23" i="2"/>
  <c r="C13" i="2"/>
  <c r="C7" i="2"/>
  <c r="C23" i="2" s="1"/>
  <c r="G29" i="2"/>
  <c r="F31" i="2" l="1"/>
  <c r="H31" i="2"/>
  <c r="F20" i="2"/>
  <c r="F25" i="2"/>
  <c r="P24" i="2"/>
  <c r="P19" i="2"/>
  <c r="P20" i="2" s="1"/>
  <c r="P26" i="2"/>
  <c r="C15" i="2"/>
  <c r="D69" i="2" s="1"/>
  <c r="P25" i="2" l="1"/>
  <c r="C24" i="2"/>
  <c r="C17" i="2"/>
  <c r="C19" i="2" s="1"/>
  <c r="E13" i="2"/>
  <c r="E7" i="2"/>
  <c r="E23" i="2" s="1"/>
  <c r="G13" i="2"/>
  <c r="Q13" i="2"/>
  <c r="R13" i="2"/>
  <c r="G7" i="2"/>
  <c r="G23" i="2" s="1"/>
  <c r="Q7" i="2"/>
  <c r="Q23" i="2" s="1"/>
  <c r="R7" i="2"/>
  <c r="R23" i="2" s="1"/>
  <c r="C20" i="2" l="1"/>
  <c r="D30" i="2"/>
  <c r="C26" i="2"/>
  <c r="E15" i="2"/>
  <c r="G15" i="2"/>
  <c r="R15" i="2"/>
  <c r="R17" i="2" s="1"/>
  <c r="R19" i="2" s="1"/>
  <c r="Q15" i="2"/>
  <c r="G69" i="2" l="1"/>
  <c r="H69" i="2"/>
  <c r="E69" i="2"/>
  <c r="F69" i="2"/>
  <c r="S31" i="2"/>
  <c r="V13" i="2"/>
  <c r="R20" i="2"/>
  <c r="R25" i="2"/>
  <c r="C25" i="2"/>
  <c r="E24" i="2"/>
  <c r="E17" i="2"/>
  <c r="E19" i="2" s="1"/>
  <c r="G17" i="2"/>
  <c r="G19" i="2" s="1"/>
  <c r="G24" i="2"/>
  <c r="R24" i="2"/>
  <c r="R26" i="2"/>
  <c r="Q24" i="2"/>
  <c r="Q17" i="2"/>
  <c r="Q19" i="2" s="1"/>
  <c r="Q31" i="2" s="1"/>
  <c r="H30" i="2" l="1"/>
  <c r="I31" i="2"/>
  <c r="W13" i="2"/>
  <c r="R31" i="2"/>
  <c r="G20" i="2"/>
  <c r="G30" i="2"/>
  <c r="G31" i="2"/>
  <c r="E20" i="2"/>
  <c r="E31" i="2"/>
  <c r="E30" i="2"/>
  <c r="F30" i="2"/>
  <c r="Q20" i="2"/>
  <c r="E26" i="2"/>
  <c r="G26" i="2"/>
  <c r="Q26" i="2"/>
  <c r="X13" i="2" l="1"/>
  <c r="E25" i="2"/>
  <c r="G25" i="2"/>
  <c r="Q25" i="2"/>
  <c r="Y13" i="2" l="1"/>
  <c r="C8" i="1"/>
  <c r="C39" i="1" s="1"/>
  <c r="Z13" i="2" l="1"/>
  <c r="C11" i="1"/>
  <c r="AG26" i="2" s="1"/>
  <c r="C12" i="1"/>
  <c r="C41" i="1" l="1"/>
  <c r="C40" i="1"/>
  <c r="AA13" i="2"/>
  <c r="AB13" i="2" l="1"/>
  <c r="AC13" i="2" l="1"/>
  <c r="AD13" i="2" l="1"/>
  <c r="V7" i="2" l="1"/>
  <c r="W4" i="2" l="1"/>
  <c r="V29" i="2"/>
  <c r="V5" i="2"/>
  <c r="W29" i="2" l="1"/>
  <c r="W7" i="2"/>
  <c r="X4" i="2"/>
  <c r="V24" i="2"/>
  <c r="V17" i="2"/>
  <c r="X29" i="2" l="1"/>
  <c r="X7" i="2"/>
  <c r="Y4" i="2"/>
  <c r="W5" i="2"/>
  <c r="W23" i="2"/>
  <c r="V26" i="2"/>
  <c r="V19" i="2"/>
  <c r="Y29" i="2" l="1"/>
  <c r="Z4" i="2"/>
  <c r="Y7" i="2"/>
  <c r="W24" i="2"/>
  <c r="W17" i="2"/>
  <c r="X5" i="2"/>
  <c r="X23" i="2"/>
  <c r="V20" i="2"/>
  <c r="V25" i="2"/>
  <c r="X17" i="2" l="1"/>
  <c r="X24" i="2"/>
  <c r="W26" i="2"/>
  <c r="W19" i="2"/>
  <c r="Y23" i="2"/>
  <c r="Y5" i="2"/>
  <c r="Z29" i="2"/>
  <c r="AA4" i="2"/>
  <c r="Z7" i="2"/>
  <c r="Z5" i="2" s="1"/>
  <c r="Y17" i="2" l="1"/>
  <c r="Y24" i="2"/>
  <c r="AA29" i="2"/>
  <c r="AA7" i="2"/>
  <c r="AB4" i="2"/>
  <c r="X26" i="2"/>
  <c r="X19" i="2"/>
  <c r="W25" i="2"/>
  <c r="W20" i="2"/>
  <c r="Z23" i="2"/>
  <c r="X25" i="2" l="1"/>
  <c r="X20" i="2"/>
  <c r="Z17" i="2"/>
  <c r="Z24" i="2"/>
  <c r="Y26" i="2"/>
  <c r="Y19" i="2"/>
  <c r="AB29" i="2"/>
  <c r="AC4" i="2"/>
  <c r="AB7" i="2"/>
  <c r="AA23" i="2"/>
  <c r="AA5" i="2"/>
  <c r="AB23" i="2" l="1"/>
  <c r="AB5" i="2"/>
  <c r="Y25" i="2"/>
  <c r="Y20" i="2"/>
  <c r="AC29" i="2"/>
  <c r="AC7" i="2"/>
  <c r="AC5" i="2" s="1"/>
  <c r="AD4" i="2"/>
  <c r="AA24" i="2"/>
  <c r="AA17" i="2"/>
  <c r="Z19" i="2"/>
  <c r="Z26" i="2"/>
  <c r="AB24" i="2" l="1"/>
  <c r="AB17" i="2"/>
  <c r="AD29" i="2"/>
  <c r="AD7" i="2"/>
  <c r="AC23" i="2"/>
  <c r="AD5" i="2"/>
  <c r="Z20" i="2"/>
  <c r="Z25" i="2"/>
  <c r="AA26" i="2"/>
  <c r="AA19" i="2"/>
  <c r="AC24" i="2" l="1"/>
  <c r="AC17" i="2"/>
  <c r="AB19" i="2"/>
  <c r="AB26" i="2"/>
  <c r="AD23" i="2"/>
  <c r="AA20" i="2"/>
  <c r="AA25" i="2"/>
  <c r="AC19" i="2" l="1"/>
  <c r="AC26" i="2"/>
  <c r="AD24" i="2"/>
  <c r="AD17" i="2"/>
  <c r="AB20" i="2"/>
  <c r="AB25" i="2"/>
  <c r="AC25" i="2" l="1"/>
  <c r="AC20" i="2"/>
  <c r="AD19" i="2"/>
  <c r="AD26" i="2"/>
  <c r="AD25" i="2" l="1"/>
  <c r="AE19" i="2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AG25" i="2" s="1"/>
  <c r="AG27" i="2" s="1"/>
  <c r="AG28" i="2" s="1"/>
  <c r="AG33" i="2" s="1"/>
  <c r="AD20" i="2"/>
</calcChain>
</file>

<file path=xl/sharedStrings.xml><?xml version="1.0" encoding="utf-8"?>
<sst xmlns="http://schemas.openxmlformats.org/spreadsheetml/2006/main" count="310" uniqueCount="253">
  <si>
    <t>Stock Snapshot</t>
  </si>
  <si>
    <t>Price</t>
  </si>
  <si>
    <t>Shares</t>
  </si>
  <si>
    <t>MC</t>
  </si>
  <si>
    <t>Cash</t>
  </si>
  <si>
    <t>Debt</t>
  </si>
  <si>
    <t>Net Cash</t>
  </si>
  <si>
    <t>EV</t>
  </si>
  <si>
    <t>£MHC</t>
  </si>
  <si>
    <t>MyHealthChecked Plc.</t>
  </si>
  <si>
    <t>Management</t>
  </si>
  <si>
    <t>CEO</t>
  </si>
  <si>
    <t>CFO</t>
  </si>
  <si>
    <t>Penny McCormick</t>
  </si>
  <si>
    <t>CSO</t>
  </si>
  <si>
    <t>Nick Edwards</t>
  </si>
  <si>
    <t>Revenue</t>
  </si>
  <si>
    <t>Cost of Sales</t>
  </si>
  <si>
    <t>Gross Profit</t>
  </si>
  <si>
    <t>Other administrative</t>
  </si>
  <si>
    <t>Deprecitation &amp; amortisation</t>
  </si>
  <si>
    <t>Share-based payments</t>
  </si>
  <si>
    <t>Administrative Expenses</t>
  </si>
  <si>
    <t>Finance Expenses</t>
  </si>
  <si>
    <t>Tax credit</t>
  </si>
  <si>
    <t>Net Income</t>
  </si>
  <si>
    <t>Pretax Income</t>
  </si>
  <si>
    <t>FY20</t>
  </si>
  <si>
    <t>Gross Margin %</t>
  </si>
  <si>
    <t>Operating Margin %</t>
  </si>
  <si>
    <t>Net Margin %</t>
  </si>
  <si>
    <t>Tax Rate %</t>
  </si>
  <si>
    <t>EPS</t>
  </si>
  <si>
    <t>Impairment of Inventory</t>
  </si>
  <si>
    <t>Impairment of development costs</t>
  </si>
  <si>
    <t>Loss on disposal of tangible assets</t>
  </si>
  <si>
    <t>FY19</t>
  </si>
  <si>
    <t>FY22</t>
  </si>
  <si>
    <t>FY21</t>
  </si>
  <si>
    <t>Share Nominees Ltd</t>
  </si>
  <si>
    <t>Hargreaves Lansdown (Nominees) Limited</t>
  </si>
  <si>
    <t>W B Nominees Ltd</t>
  </si>
  <si>
    <t>Bernard Nominees Ltd</t>
  </si>
  <si>
    <t>JIM Nominees Limited</t>
  </si>
  <si>
    <t>CGWL Nominees Limited</t>
  </si>
  <si>
    <t>Lawshare Nominees Limited</t>
  </si>
  <si>
    <t>Aurora Nominees Limited</t>
  </si>
  <si>
    <t>Interactive Investor Services Nominees Limited</t>
  </si>
  <si>
    <t>Vidacos Nominees Limited</t>
  </si>
  <si>
    <t>Mercia (General Partner) Limited</t>
  </si>
  <si>
    <t>Interests in more than 3% of ordinary share capital</t>
  </si>
  <si>
    <t>Adam Reynolds</t>
  </si>
  <si>
    <t>Chairman</t>
  </si>
  <si>
    <t>Mercia Investment Plan LP</t>
  </si>
  <si>
    <t>FY18</t>
  </si>
  <si>
    <t>Operating Income</t>
  </si>
  <si>
    <t>(Projected)</t>
  </si>
  <si>
    <t>Penny McCormick appointed as CEO</t>
  </si>
  <si>
    <t>Concepta renamed to MyHealthChecked</t>
  </si>
  <si>
    <t>Key Events</t>
  </si>
  <si>
    <t>Share Placings</t>
  </si>
  <si>
    <t>£1.9m gross @ 0.8p</t>
  </si>
  <si>
    <t>Acquisitions</t>
  </si>
  <si>
    <t>Genome Store</t>
  </si>
  <si>
    <t>UKAS Stage 2 accreditation passed</t>
  </si>
  <si>
    <t>£3.4m @ 1.75p</t>
  </si>
  <si>
    <t>First UK lockdown due to COVID-19 Pandemic</t>
  </si>
  <si>
    <t>Nell Health</t>
  </si>
  <si>
    <t>Balance Sheet</t>
  </si>
  <si>
    <t>PP&amp;E</t>
  </si>
  <si>
    <t>Right of Use Assets</t>
  </si>
  <si>
    <t>Intangible Assets</t>
  </si>
  <si>
    <t>Inventories</t>
  </si>
  <si>
    <t>Trade &amp; Other Receivables</t>
  </si>
  <si>
    <t>Corporation Tax Receivables</t>
  </si>
  <si>
    <t>Assets</t>
  </si>
  <si>
    <t>Trade &amp; Other Payables</t>
  </si>
  <si>
    <t>Deferred Tax Liabilities</t>
  </si>
  <si>
    <t>Lease Liabilities</t>
  </si>
  <si>
    <t>Loans &amp; Borrowings</t>
  </si>
  <si>
    <t>Provisions</t>
  </si>
  <si>
    <t xml:space="preserve"> </t>
  </si>
  <si>
    <t>Lease Liabilities (Current)</t>
  </si>
  <si>
    <t>Loans &amp; Borrowings (Current)</t>
  </si>
  <si>
    <t>Liabilities</t>
  </si>
  <si>
    <t>S/E</t>
  </si>
  <si>
    <t>L+S/E</t>
  </si>
  <si>
    <t>H119</t>
  </si>
  <si>
    <t>H120</t>
  </si>
  <si>
    <t>H121</t>
  </si>
  <si>
    <t>H122</t>
  </si>
  <si>
    <t>H219</t>
  </si>
  <si>
    <t>31/12/0219</t>
  </si>
  <si>
    <t>Revenue Growth H/H</t>
  </si>
  <si>
    <t>H220</t>
  </si>
  <si>
    <t>H221</t>
  </si>
  <si>
    <t>H222</t>
  </si>
  <si>
    <t>Revenue Growth Y/Y</t>
  </si>
  <si>
    <t>Agreement with Boots to launch MHC COVID-19 PCR kits</t>
  </si>
  <si>
    <t>Second contract signed with Boots for Day 2&amp;8 COVID tests</t>
  </si>
  <si>
    <t>Acquisition of Nell Health for £1.2m</t>
  </si>
  <si>
    <t>Agreement with Lloyds to supply PCR kits &amp; lab services</t>
  </si>
  <si>
    <t>Awarded ISO 15189:2012 accreditation across COVID testing services</t>
  </si>
  <si>
    <t>Products</t>
  </si>
  <si>
    <t>COVID-19</t>
  </si>
  <si>
    <t>Pregnancy</t>
  </si>
  <si>
    <t>Wellbeing</t>
  </si>
  <si>
    <t>Mercia (General Partner) Limited as General Partner</t>
  </si>
  <si>
    <t>Fit to Fly PCR, Fit to Fly Antigen, COVID Recovery Cert</t>
  </si>
  <si>
    <t>myLotus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</si>
  <si>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</si>
  <si>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</si>
  <si>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</si>
  <si>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</si>
  <si>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</si>
  <si>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</si>
  <si>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</si>
  <si>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</si>
  <si>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</si>
  <si>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</si>
  <si>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Maturity Rate</t>
  </si>
  <si>
    <t>Discount Rate</t>
  </si>
  <si>
    <t>NPV</t>
  </si>
  <si>
    <t>Total Value</t>
  </si>
  <si>
    <t>Per Share</t>
  </si>
  <si>
    <t>Current Share Price</t>
  </si>
  <si>
    <t>Projected Upside</t>
  </si>
  <si>
    <t>Finance Yorkshire Ltd</t>
  </si>
  <si>
    <t>Net Income Growth H/H</t>
  </si>
  <si>
    <t>Net Income Growth Y/Y</t>
  </si>
  <si>
    <t>Deferred Considerations</t>
  </si>
  <si>
    <t>Launched 14th June 2022</t>
  </si>
  <si>
    <t>Food intolerance, Vitamins, Weight mgt, Glucose &amp; Heart wellness tests release</t>
  </si>
  <si>
    <t>Change of strategy to sell at-home generic wellbeing tests</t>
  </si>
  <si>
    <t>on myhealthchecked.com, "unavailable" on Amazon, no retail stores</t>
  </si>
  <si>
    <t>Food Intolerance, Vitamins/minerals, Weight Mgmt, Glucose, Heart Profile</t>
  </si>
  <si>
    <t>MHC report strong revenue in H1 22 &amp; due to issue July trading update</t>
  </si>
  <si>
    <t>Cashflow</t>
  </si>
  <si>
    <t>Chairman Adam Reynolds buys 1m shares @ average of 2p per share (£20k)</t>
  </si>
  <si>
    <t>First batch of DNA Wellness tests release on Amazon</t>
  </si>
  <si>
    <t>Ratios</t>
  </si>
  <si>
    <t>P/E</t>
  </si>
  <si>
    <t>P/B</t>
  </si>
  <si>
    <t>Book Value</t>
  </si>
  <si>
    <t>Book Value per Share</t>
  </si>
  <si>
    <t>EV/E</t>
  </si>
  <si>
    <t>CFO Nick Edwards joins MHC</t>
  </si>
  <si>
    <t>COVID lateral flow tests in-store at Boots</t>
  </si>
  <si>
    <t>Profile</t>
  </si>
  <si>
    <t>HQ</t>
  </si>
  <si>
    <t>Founded</t>
  </si>
  <si>
    <t>IR</t>
  </si>
  <si>
    <t>Link</t>
  </si>
  <si>
    <t>Cardiff, UK</t>
  </si>
  <si>
    <t>Update</t>
  </si>
  <si>
    <t>Presentations</t>
  </si>
  <si>
    <t>FY 22</t>
  </si>
  <si>
    <t>FY 21</t>
  </si>
  <si>
    <t>16m share options granted to Exec. Dirs @ exercise price of 1.6p per share</t>
  </si>
  <si>
    <t>P/S</t>
  </si>
  <si>
    <t>EV/S</t>
  </si>
  <si>
    <t>ROCE</t>
  </si>
  <si>
    <t>Share Price</t>
  </si>
  <si>
    <t>FY22 Results Presentation</t>
  </si>
  <si>
    <t>36% Y/Y revenue growth</t>
  </si>
  <si>
    <t>Soft-launched DNA portfolio in Summer 2022 (Genome Store acq.)</t>
  </si>
  <si>
    <t>D2C is not the aim of MHC, B2B2C distribution network is the goal</t>
  </si>
  <si>
    <t>£0.5m reinvestment into digital platform that came from Nell Health</t>
  </si>
  <si>
    <t xml:space="preserve">Digital platform aims to lock-in long-term testing relationship </t>
  </si>
  <si>
    <t>Over 17.3m tests delivered into the market in FY 2022</t>
  </si>
  <si>
    <t>Wide range of products aiming for Spring 2023 release</t>
  </si>
  <si>
    <t>12 blood &amp; urine tests, 5 DNA products, 6 lateral flow screeners</t>
  </si>
  <si>
    <t>Digital platform built with customer &amp; possibly B2B needs in mind</t>
  </si>
  <si>
    <t>"Looking to launch products this year in a very short space of time"</t>
  </si>
  <si>
    <t>We want to drive marketing &amp; awareness of why tests are important</t>
  </si>
  <si>
    <t>Focused on growing distribution network in the UK</t>
  </si>
  <si>
    <t>"To do that we will grow our team and commercial heads"</t>
  </si>
  <si>
    <t>Also aim to grow B2B channels</t>
  </si>
  <si>
    <t>New product portfolios launch-ready for Q2 2023</t>
  </si>
  <si>
    <t>"Strong cash position so we can fund our own growth"</t>
  </si>
  <si>
    <t>What are you going to do about the share price &amp; shareholder value?</t>
  </si>
  <si>
    <t>"We can't do anything about share price"</t>
  </si>
  <si>
    <t>"We are committed to providing shareholder value"</t>
  </si>
  <si>
    <t>"Strong market presense, expanding team &amp; delivering further growth"</t>
  </si>
  <si>
    <t>"We are already expanding our team this year"</t>
  </si>
  <si>
    <t>"I want to run the business as well as I can"</t>
  </si>
  <si>
    <t>"There are some levers we can use as a Plc and important we consider those"</t>
  </si>
  <si>
    <t>"Share consolodation (reduce volatility), move us out of penny share"</t>
  </si>
  <si>
    <t>"Thinking about how we can really use our cash" [share buyback]</t>
  </si>
  <si>
    <t>"My commitment is always on shareholder value"</t>
  </si>
  <si>
    <t>Adam: "The current share price is effectively the cash we have in the business"</t>
  </si>
  <si>
    <t>Adam: "There are big disparities in the market that hopefully will resolve"</t>
  </si>
  <si>
    <t>Why are the new produts late &amp; where was the explaination to the market?</t>
  </si>
  <si>
    <t>"We are a business 2 business 2 consumer organisation"</t>
  </si>
  <si>
    <t>"Our most effective product launches will always be driven alongside our retailer base"</t>
  </si>
  <si>
    <t>"We are going to work alongside THEIR timescales alongside that"</t>
  </si>
  <si>
    <t>"The kind of partnerships we're looking to work with are extremely considered</t>
  </si>
  <si>
    <t>and researched and that takes time"</t>
  </si>
  <si>
    <t>"We're looking forward to updating shareholders WHEN we can"</t>
  </si>
  <si>
    <t>"The most successful releases will be executed in partnerships"</t>
  </si>
  <si>
    <t>Why is there no marketing and sales strategy for wellness products?</t>
  </si>
  <si>
    <t>"Along the same lines as previous answer"</t>
  </si>
  <si>
    <t>"There is a marketing strategy but NOT in the public domain"</t>
  </si>
  <si>
    <t>"We're building out launch campaigns with the relevant parties"</t>
  </si>
  <si>
    <t>"Essential that we don't burn through cash which can be easily done</t>
  </si>
  <si>
    <t>with pointless marketing such as PPC campaigns"</t>
  </si>
  <si>
    <t>What will be different in regards to release of next line of products?</t>
  </si>
  <si>
    <t>"Original portfolio was a soft launch &amp; were keen to demonstrate</t>
  </si>
  <si>
    <t>ability to bring products to market that they previously announced"</t>
  </si>
  <si>
    <t>"We could have held back but we wanted to show shareholders that</t>
  </si>
  <si>
    <t>we can actually release products"</t>
  </si>
  <si>
    <t>"Always planned to be rolled out with a greater distribution channel"</t>
  </si>
  <si>
    <t>"We put them on the shop window, soft launch with a view to something</t>
  </si>
  <si>
    <t>much bigger"</t>
  </si>
  <si>
    <t>"We have a truly unique offering from LFT to DNA sampling"</t>
  </si>
  <si>
    <t>"We have been building through a retailer partner, really unique"</t>
  </si>
  <si>
    <t>"We're looking to 2023 being the year where this all happens"</t>
  </si>
  <si>
    <t>Competative landscape &amp; MyHealthChecked's USP</t>
  </si>
  <si>
    <t>"It is a busy market out there and a new category for consumers"</t>
  </si>
  <si>
    <t>"As time goes on there will be greater demand but finite number</t>
  </si>
  <si>
    <t>of suppliers who will be successful with that"</t>
  </si>
  <si>
    <t xml:space="preserve">"The winners will be well-tuned into the customer with great </t>
  </si>
  <si>
    <t>digital solutions tailored to the needs and wants of customers"</t>
  </si>
  <si>
    <t>"It is still early-days for us, just the start of our post-COVID strategy"</t>
  </si>
  <si>
    <t>"Quality of our service is really key to us, demonstrated this through</t>
  </si>
  <si>
    <t>COVID. Selected by Lloyds &amp; Boots is evidence of this"</t>
  </si>
  <si>
    <t>Closing Comments</t>
  </si>
  <si>
    <t>"We couldn't be more proud of what we've delivered &amp; the results</t>
  </si>
  <si>
    <t>we do understand the market is tricky &amp; share price is frustrating</t>
  </si>
  <si>
    <t>we feel it all of the time."</t>
  </si>
  <si>
    <t>"We can't control the stock market but we are committed to</t>
  </si>
  <si>
    <t>delivering the best shareholder value that we can"</t>
  </si>
  <si>
    <t>"Really exciting time for consumer healthcare, front and centre</t>
  </si>
  <si>
    <t>with the most important health care retailers in the country"</t>
  </si>
  <si>
    <t>"Continued to be well placed to rolling out the portfolio and</t>
  </si>
  <si>
    <t>building the digital assets &amp; building the team"</t>
  </si>
  <si>
    <t>"Most importantly to get close to our customer to meet their needs"</t>
  </si>
  <si>
    <t>Share Consolodations</t>
  </si>
  <si>
    <t>15:1 consolodation</t>
  </si>
  <si>
    <t>MHC sign 12-month non-exclusive retail contact with Boots for wellness tests</t>
  </si>
  <si>
    <t>15:1 share consolodation approved &amp; undertaken to boost liquidity</t>
  </si>
  <si>
    <t>CFO Nick Edwards leaves MHC after only 15 months in position</t>
  </si>
  <si>
    <t>H123</t>
  </si>
  <si>
    <t>Trading Update shows strong cash, LFT's still strongest product in H223</t>
  </si>
  <si>
    <t>H223</t>
  </si>
  <si>
    <t>H124</t>
  </si>
  <si>
    <t>Sales &amp; Marketing</t>
  </si>
  <si>
    <t>H224</t>
  </si>
  <si>
    <t>Projected</t>
  </si>
  <si>
    <t>COVID</t>
  </si>
  <si>
    <t>Other</t>
  </si>
  <si>
    <t>COVID Y/Y</t>
  </si>
  <si>
    <t>Other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</si>
</sst>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;[Red]\ \ \-\ #,##0.0\ ;&quot;-&quot;"/>
    <numFmt numFmtId="166" formatCode="#,##0%"/>
    <numFmt numFmtId="167" formatCode="#,##0.0;[Black]\(#,##0.0\)\ "/>
    <numFmt numFmtId="168" formatCode="#,##0.0_);[Red]\(#,##0.0\)"/>
    <numFmt numFmtId="169" formatCode="0.000"/>
    <numFmt numFmtId="170" formatCode="0.0"/>
    <numFmt numFmtId="171" formatCode="0.0\x"/>
    <numFmt numFmtId="172" formatCode="#,##0.00_ ;\-#,##0.00\ "/>
    <numFmt numFmtId="173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4" borderId="4" xfId="0" applyFont="1" applyFill="1" applyBorder="1"/>
    <xf numFmtId="0" fontId="1" fillId="0" borderId="5" xfId="1" applyFill="1" applyBorder="1"/>
    <xf numFmtId="164" fontId="1" fillId="0" borderId="0" xfId="0" applyNumberFormat="1" applyFont="1"/>
    <xf numFmtId="164" fontId="1" fillId="0" borderId="5" xfId="0" applyNumberFormat="1" applyFont="1" applyBorder="1"/>
    <xf numFmtId="164" fontId="1" fillId="0" borderId="5" xfId="0" applyNumberFormat="1" applyFont="1" applyBorder="1" applyAlignment="1">
      <alignment horizontal="right"/>
    </xf>
    <xf numFmtId="0" fontId="2" fillId="4" borderId="6" xfId="0" applyFont="1" applyFill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14" fontId="5" fillId="0" borderId="0" xfId="0" applyNumberFormat="1" applyFont="1"/>
    <xf numFmtId="165" fontId="1" fillId="0" borderId="0" xfId="0" applyNumberFormat="1" applyFont="1"/>
    <xf numFmtId="9" fontId="0" fillId="0" borderId="0" xfId="3" applyFont="1"/>
    <xf numFmtId="166" fontId="0" fillId="0" borderId="0" xfId="3" applyNumberFormat="1" applyFont="1"/>
    <xf numFmtId="0" fontId="0" fillId="5" borderId="9" xfId="0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4" fontId="5" fillId="0" borderId="0" xfId="0" applyNumberFormat="1" applyFont="1" applyAlignment="1">
      <alignment horizontal="right"/>
    </xf>
    <xf numFmtId="14" fontId="2" fillId="0" borderId="0" xfId="0" applyNumberFormat="1" applyFont="1"/>
    <xf numFmtId="0" fontId="0" fillId="6" borderId="0" xfId="0" applyFill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17" fontId="0" fillId="7" borderId="9" xfId="0" applyNumberFormat="1" applyFill="1" applyBorder="1" applyAlignment="1">
      <alignment horizontal="center"/>
    </xf>
    <xf numFmtId="17" fontId="1" fillId="7" borderId="11" xfId="0" applyNumberFormat="1" applyFont="1" applyFill="1" applyBorder="1" applyAlignment="1">
      <alignment horizontal="center"/>
    </xf>
    <xf numFmtId="17" fontId="0" fillId="7" borderId="13" xfId="0" applyNumberFormat="1" applyFill="1" applyBorder="1" applyAlignment="1">
      <alignment horizontal="center"/>
    </xf>
    <xf numFmtId="0" fontId="7" fillId="0" borderId="0" xfId="0" applyFont="1"/>
    <xf numFmtId="0" fontId="2" fillId="8" borderId="0" xfId="0" applyFont="1" applyFill="1" applyAlignment="1">
      <alignment horizontal="right"/>
    </xf>
    <xf numFmtId="14" fontId="5" fillId="8" borderId="0" xfId="0" applyNumberFormat="1" applyFont="1" applyFill="1"/>
    <xf numFmtId="0" fontId="0" fillId="8" borderId="0" xfId="0" applyFill="1"/>
    <xf numFmtId="9" fontId="0" fillId="8" borderId="0" xfId="3" applyFont="1" applyFill="1"/>
    <xf numFmtId="9" fontId="0" fillId="8" borderId="0" xfId="0" applyNumberFormat="1" applyFill="1"/>
    <xf numFmtId="166" fontId="0" fillId="8" borderId="0" xfId="3" applyNumberFormat="1" applyFont="1" applyFill="1"/>
    <xf numFmtId="9" fontId="0" fillId="0" borderId="0" xfId="0" applyNumberFormat="1"/>
    <xf numFmtId="0" fontId="8" fillId="9" borderId="0" xfId="0" applyFont="1" applyFill="1"/>
    <xf numFmtId="10" fontId="8" fillId="9" borderId="0" xfId="3" applyNumberFormat="1" applyFont="1" applyFill="1"/>
    <xf numFmtId="43" fontId="0" fillId="0" borderId="0" xfId="0" applyNumberFormat="1"/>
    <xf numFmtId="14" fontId="6" fillId="0" borderId="0" xfId="0" applyNumberFormat="1" applyFont="1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0" fillId="0" borderId="6" xfId="0" applyBorder="1"/>
    <xf numFmtId="9" fontId="0" fillId="0" borderId="3" xfId="0" applyNumberFormat="1" applyBorder="1"/>
    <xf numFmtId="9" fontId="0" fillId="0" borderId="5" xfId="0" applyNumberFormat="1" applyBorder="1"/>
    <xf numFmtId="168" fontId="0" fillId="0" borderId="5" xfId="0" applyNumberFormat="1" applyBorder="1"/>
    <xf numFmtId="169" fontId="0" fillId="0" borderId="5" xfId="0" applyNumberFormat="1" applyBorder="1"/>
    <xf numFmtId="170" fontId="0" fillId="0" borderId="5" xfId="0" applyNumberFormat="1" applyBorder="1"/>
    <xf numFmtId="9" fontId="0" fillId="0" borderId="8" xfId="3" applyFont="1" applyBorder="1"/>
    <xf numFmtId="2" fontId="2" fillId="0" borderId="5" xfId="0" applyNumberFormat="1" applyFont="1" applyBorder="1"/>
    <xf numFmtId="167" fontId="2" fillId="0" borderId="0" xfId="2" applyNumberFormat="1" applyFont="1"/>
    <xf numFmtId="43" fontId="0" fillId="0" borderId="0" xfId="2" applyFont="1"/>
    <xf numFmtId="43" fontId="1" fillId="0" borderId="0" xfId="0" applyNumberFormat="1" applyFont="1"/>
    <xf numFmtId="43" fontId="0" fillId="8" borderId="0" xfId="0" applyNumberFormat="1" applyFill="1"/>
    <xf numFmtId="43" fontId="2" fillId="8" borderId="0" xfId="0" applyNumberFormat="1" applyFont="1" applyFill="1"/>
    <xf numFmtId="43" fontId="2" fillId="0" borderId="0" xfId="2" applyFont="1"/>
    <xf numFmtId="43" fontId="2" fillId="0" borderId="0" xfId="0" applyNumberFormat="1" applyFont="1"/>
    <xf numFmtId="0" fontId="2" fillId="8" borderId="0" xfId="0" applyFont="1" applyFill="1"/>
    <xf numFmtId="165" fontId="1" fillId="8" borderId="0" xfId="0" applyNumberFormat="1" applyFont="1" applyFill="1"/>
    <xf numFmtId="10" fontId="1" fillId="0" borderId="0" xfId="3" applyNumberFormat="1" applyFont="1"/>
    <xf numFmtId="4" fontId="2" fillId="0" borderId="0" xfId="2" applyNumberFormat="1" applyFont="1"/>
    <xf numFmtId="4" fontId="0" fillId="0" borderId="0" xfId="2" applyNumberFormat="1" applyFont="1"/>
    <xf numFmtId="4" fontId="1" fillId="0" borderId="0" xfId="0" applyNumberFormat="1" applyFont="1"/>
    <xf numFmtId="4" fontId="1" fillId="0" borderId="0" xfId="2" applyNumberFormat="1" applyFont="1"/>
    <xf numFmtId="4" fontId="0" fillId="0" borderId="0" xfId="0" applyNumberFormat="1"/>
    <xf numFmtId="4" fontId="0" fillId="0" borderId="0" xfId="3" applyNumberFormat="1" applyFont="1"/>
    <xf numFmtId="4" fontId="2" fillId="8" borderId="0" xfId="2" applyNumberFormat="1" applyFont="1" applyFill="1"/>
    <xf numFmtId="4" fontId="0" fillId="8" borderId="0" xfId="0" applyNumberFormat="1" applyFill="1"/>
    <xf numFmtId="4" fontId="2" fillId="0" borderId="0" xfId="0" applyNumberFormat="1" applyFont="1"/>
    <xf numFmtId="4" fontId="1" fillId="8" borderId="0" xfId="2" applyNumberFormat="1" applyFont="1" applyFill="1"/>
    <xf numFmtId="0" fontId="0" fillId="0" borderId="5" xfId="1" applyFont="1" applyFill="1" applyBorder="1" applyAlignment="1">
      <alignment horizontal="right"/>
    </xf>
    <xf numFmtId="17" fontId="10" fillId="0" borderId="0" xfId="0" applyNumberFormat="1" applyFont="1" applyAlignment="1">
      <alignment horizontal="left" vertical="top"/>
    </xf>
    <xf numFmtId="0" fontId="5" fillId="0" borderId="0" xfId="0" applyFont="1"/>
    <xf numFmtId="0" fontId="5" fillId="8" borderId="0" xfId="0" applyFont="1" applyFill="1"/>
    <xf numFmtId="0" fontId="0" fillId="6" borderId="0" xfId="0" applyFill="1" applyAlignment="1">
      <alignment horizontal="left" indent="1"/>
    </xf>
    <xf numFmtId="0" fontId="0" fillId="6" borderId="7" xfId="0" applyFill="1" applyBorder="1" applyAlignment="1">
      <alignment horizontal="left"/>
    </xf>
    <xf numFmtId="172" fontId="0" fillId="0" borderId="0" xfId="0" applyNumberFormat="1"/>
    <xf numFmtId="2" fontId="2" fillId="0" borderId="0" xfId="0" applyNumberFormat="1" applyFont="1"/>
    <xf numFmtId="0" fontId="0" fillId="6" borderId="0" xfId="0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2" fillId="0" borderId="0" xfId="4" applyAlignment="1">
      <alignment horizontal="right"/>
    </xf>
    <xf numFmtId="15" fontId="1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4" fontId="5" fillId="8" borderId="0" xfId="0" applyNumberFormat="1" applyFont="1" applyFill="1" applyAlignment="1">
      <alignment horizontal="right"/>
    </xf>
    <xf numFmtId="0" fontId="5" fillId="0" borderId="0" xfId="0" applyFont="1" applyAlignment="1">
      <alignment horizontal="right"/>
    </xf>
    <xf numFmtId="165" fontId="2" fillId="0" borderId="0" xfId="0" applyNumberFormat="1" applyFont="1"/>
    <xf numFmtId="165" fontId="2" fillId="8" borderId="0" xfId="0" applyNumberFormat="1" applyFont="1" applyFill="1"/>
    <xf numFmtId="166" fontId="2" fillId="0" borderId="0" xfId="3" applyNumberFormat="1" applyFont="1"/>
    <xf numFmtId="166" fontId="2" fillId="8" borderId="0" xfId="3" applyNumberFormat="1" applyFont="1" applyFill="1"/>
    <xf numFmtId="0" fontId="2" fillId="0" borderId="5" xfId="0" applyFont="1" applyBorder="1"/>
    <xf numFmtId="164" fontId="0" fillId="0" borderId="0" xfId="0" applyNumberFormat="1"/>
    <xf numFmtId="16" fontId="0" fillId="6" borderId="5" xfId="0" applyNumberFormat="1" applyFill="1" applyBorder="1" applyAlignment="1">
      <alignment horizontal="center"/>
    </xf>
    <xf numFmtId="17" fontId="2" fillId="7" borderId="4" xfId="0" applyNumberFormat="1" applyFont="1" applyFill="1" applyBorder="1" applyAlignment="1">
      <alignment horizontal="center"/>
    </xf>
    <xf numFmtId="17" fontId="2" fillId="7" borderId="6" xfId="0" applyNumberFormat="1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0" fontId="14" fillId="10" borderId="0" xfId="0" applyFont="1" applyFill="1" applyAlignment="1">
      <alignment horizontal="right"/>
    </xf>
    <xf numFmtId="4" fontId="14" fillId="10" borderId="0" xfId="0" applyNumberFormat="1" applyFont="1" applyFill="1"/>
    <xf numFmtId="4" fontId="13" fillId="10" borderId="0" xfId="3" applyNumberFormat="1" applyFont="1" applyFill="1"/>
    <xf numFmtId="4" fontId="13" fillId="10" borderId="0" xfId="0" applyNumberFormat="1" applyFont="1" applyFill="1"/>
    <xf numFmtId="4" fontId="13" fillId="10" borderId="0" xfId="2" applyNumberFormat="1" applyFont="1" applyFill="1"/>
    <xf numFmtId="4" fontId="14" fillId="10" borderId="0" xfId="2" applyNumberFormat="1" applyFont="1" applyFill="1"/>
    <xf numFmtId="0" fontId="13" fillId="10" borderId="0" xfId="0" applyFont="1" applyFill="1"/>
    <xf numFmtId="9" fontId="13" fillId="10" borderId="0" xfId="3" applyFont="1" applyFill="1"/>
    <xf numFmtId="166" fontId="14" fillId="10" borderId="0" xfId="3" applyNumberFormat="1" applyFont="1" applyFill="1"/>
    <xf numFmtId="166" fontId="13" fillId="10" borderId="0" xfId="3" applyNumberFormat="1" applyFont="1" applyFill="1"/>
    <xf numFmtId="0" fontId="0" fillId="6" borderId="4" xfId="0" applyFill="1" applyBorder="1"/>
    <xf numFmtId="0" fontId="0" fillId="6" borderId="6" xfId="0" applyFill="1" applyBorder="1"/>
    <xf numFmtId="17" fontId="2" fillId="4" borderId="4" xfId="0" applyNumberFormat="1" applyFont="1" applyFill="1" applyBorder="1" applyAlignment="1">
      <alignment horizontal="center" vertical="center"/>
    </xf>
    <xf numFmtId="17" fontId="2" fillId="4" borderId="6" xfId="0" applyNumberFormat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indent="1"/>
    </xf>
    <xf numFmtId="0" fontId="15" fillId="6" borderId="4" xfId="0" applyFont="1" applyFill="1" applyBorder="1" applyAlignment="1">
      <alignment horizontal="left" indent="2"/>
    </xf>
    <xf numFmtId="0" fontId="15" fillId="6" borderId="4" xfId="0" applyFont="1" applyFill="1" applyBorder="1"/>
    <xf numFmtId="0" fontId="2" fillId="6" borderId="4" xfId="0" applyFont="1" applyFill="1" applyBorder="1"/>
    <xf numFmtId="17" fontId="0" fillId="7" borderId="6" xfId="0" applyNumberFormat="1" applyFill="1" applyBorder="1" applyAlignment="1">
      <alignment horizontal="center"/>
    </xf>
    <xf numFmtId="15" fontId="5" fillId="0" borderId="0" xfId="0" applyNumberFormat="1" applyFont="1"/>
    <xf numFmtId="173" fontId="2" fillId="0" borderId="0" xfId="2" applyNumberFormat="1" applyFont="1"/>
    <xf numFmtId="173" fontId="1" fillId="0" borderId="0" xfId="2" applyNumberFormat="1" applyFont="1"/>
    <xf numFmtId="0" fontId="16" fillId="0" borderId="0" xfId="4" applyFont="1" applyAlignment="1">
      <alignment horizontal="right"/>
    </xf>
    <xf numFmtId="4" fontId="2" fillId="8" borderId="0" xfId="0" applyNumberFormat="1" applyFont="1" applyFill="1"/>
    <xf numFmtId="0" fontId="17" fillId="10" borderId="0" xfId="0" applyFont="1" applyFill="1" applyAlignment="1">
      <alignment horizontal="right"/>
    </xf>
    <xf numFmtId="0" fontId="11" fillId="10" borderId="0" xfId="0" applyFont="1" applyFill="1" applyAlignment="1">
      <alignment horizontal="right"/>
    </xf>
    <xf numFmtId="4" fontId="17" fillId="10" borderId="0" xfId="0" applyNumberFormat="1" applyFont="1" applyFill="1"/>
    <xf numFmtId="4" fontId="15" fillId="10" borderId="0" xfId="0" applyNumberFormat="1" applyFont="1" applyFill="1"/>
    <xf numFmtId="9" fontId="15" fillId="10" borderId="0" xfId="3" applyFont="1" applyFill="1"/>
    <xf numFmtId="4" fontId="15" fillId="10" borderId="0" xfId="2" applyNumberFormat="1" applyFont="1" applyFill="1"/>
    <xf numFmtId="0" fontId="15" fillId="10" borderId="0" xfId="0" applyFont="1" applyFill="1"/>
    <xf numFmtId="0" fontId="17" fillId="10" borderId="0" xfId="0" applyFont="1" applyFill="1"/>
    <xf numFmtId="9" fontId="15" fillId="10" borderId="0" xfId="0" applyNumberFormat="1" applyFont="1" applyFill="1"/>
    <xf numFmtId="0" fontId="2" fillId="3" borderId="1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1" fontId="0" fillId="5" borderId="0" xfId="0" applyNumberFormat="1" applyFill="1" applyAlignment="1">
      <alignment horizontal="center"/>
    </xf>
    <xf numFmtId="171" fontId="0" fillId="5" borderId="5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6" borderId="0" xfId="4" applyFill="1" applyBorder="1" applyAlignment="1">
      <alignment horizontal="center"/>
    </xf>
    <xf numFmtId="0" fontId="12" fillId="6" borderId="5" xfId="4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9" fontId="0" fillId="6" borderId="7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12" fillId="6" borderId="7" xfId="4" applyFill="1" applyBorder="1" applyAlignment="1">
      <alignment horizontal="center"/>
    </xf>
    <xf numFmtId="0" fontId="12" fillId="6" borderId="8" xfId="4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3" fontId="13" fillId="0" borderId="0" xfId="0" applyNumberFormat="1" applyFont="1"/>
    <xf numFmtId="9" fontId="13" fillId="0" borderId="0" xfId="0" applyNumberFormat="1" applyFont="1"/>
  </cellXfs>
  <cellStyles count="5">
    <cellStyle name="20% - Accent3" xfId="1" builtinId="38"/>
    <cellStyle name="Comma" xfId="2" builtinId="3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1787</xdr:colOff>
      <xdr:row>1</xdr:row>
      <xdr:rowOff>1307</xdr:rowOff>
    </xdr:from>
    <xdr:to>
      <xdr:col>27</xdr:col>
      <xdr:colOff>123264</xdr:colOff>
      <xdr:row>20</xdr:row>
      <xdr:rowOff>112059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5B246E-2827-405C-94A2-E80BC5C0CE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5492"/>
        <a:stretch/>
      </xdr:blipFill>
      <xdr:spPr>
        <a:xfrm>
          <a:off x="9112169" y="191807"/>
          <a:ext cx="7248419" cy="3786281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</xdr:row>
      <xdr:rowOff>0</xdr:rowOff>
    </xdr:from>
    <xdr:to>
      <xdr:col>7</xdr:col>
      <xdr:colOff>0</xdr:colOff>
      <xdr:row>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0248D5-34D6-45A8-903A-364A1F56D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8975" y="190500"/>
          <a:ext cx="1209675" cy="1209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19050</xdr:rowOff>
    </xdr:from>
    <xdr:to>
      <xdr:col>13</xdr:col>
      <xdr:colOff>19050</xdr:colOff>
      <xdr:row>75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CE77AB-7868-483A-82C2-527E6EB8EC32}"/>
            </a:ext>
          </a:extLst>
        </xdr:cNvPr>
        <xdr:cNvCxnSpPr/>
      </xdr:nvCxnSpPr>
      <xdr:spPr>
        <a:xfrm>
          <a:off x="9991725" y="19050"/>
          <a:ext cx="0" cy="14354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28575</xdr:colOff>
      <xdr:row>0</xdr:row>
      <xdr:rowOff>0</xdr:rowOff>
    </xdr:from>
    <xdr:to>
      <xdr:col>21</xdr:col>
      <xdr:colOff>28575</xdr:colOff>
      <xdr:row>76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3DFFE9-7035-426D-B731-47012B40A634}"/>
            </a:ext>
          </a:extLst>
        </xdr:cNvPr>
        <xdr:cNvCxnSpPr/>
      </xdr:nvCxnSpPr>
      <xdr:spPr>
        <a:xfrm>
          <a:off x="15144750" y="0"/>
          <a:ext cx="0" cy="145542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aI-dumdW9UM" TargetMode="External"/><Relationship Id="rId2" Type="http://schemas.openxmlformats.org/officeDocument/2006/relationships/hyperlink" Target="https://www.youtube.com/watch?v=9A_Sr8Z_IUw" TargetMode="External"/><Relationship Id="rId1" Type="http://schemas.openxmlformats.org/officeDocument/2006/relationships/hyperlink" Target="https://investors.myhealthchecked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nvestors.myhealthchecked.com/docs/librariesprovider66/archive/reports/annual-report-2023.pdf" TargetMode="External"/><Relationship Id="rId2" Type="http://schemas.openxmlformats.org/officeDocument/2006/relationships/hyperlink" Target="https://investors.myhealthchecked.com/docs/librariesprovider66/archive/results/interims-2024.pdf" TargetMode="External"/><Relationship Id="rId1" Type="http://schemas.openxmlformats.org/officeDocument/2006/relationships/hyperlink" Target="https://investors.myhealthchecked.com/docs/librariesprovider66/archive/results/interims-2022.pdf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B090-C0E4-4B85-AA22-AACD646D3083}">
  <dimension ref="A1:AC105"/>
  <sheetViews>
    <sheetView tabSelected="1" zoomScale="85" zoomScaleNormal="85" workbookViewId="0">
      <selection activeCell="J19" sqref="J19"/>
    </sheetView>
  </sheetViews>
  <sheetFormatPr defaultColWidth="8.85546875" defaultRowHeight="15" x14ac:dyDescent="0.25"/>
  <cols>
    <col min="2" max="2" width="9.140625" customWidth="1"/>
    <col min="4" max="4" width="11.7109375" customWidth="1"/>
  </cols>
  <sheetData>
    <row r="1" spans="1:14" x14ac:dyDescent="0.25">
      <c r="A1" s="1"/>
      <c r="B1" s="1"/>
      <c r="C1" s="1"/>
      <c r="D1" s="1"/>
      <c r="E1" s="1"/>
      <c r="F1" s="1"/>
      <c r="G1" s="1"/>
    </row>
    <row r="2" spans="1:14" ht="18.75" x14ac:dyDescent="0.3">
      <c r="A2" s="1"/>
      <c r="B2" s="2" t="s">
        <v>8</v>
      </c>
      <c r="C2" s="1"/>
      <c r="D2" s="1"/>
      <c r="E2" s="1"/>
      <c r="F2" s="1"/>
      <c r="G2" s="1"/>
      <c r="J2" s="140" t="s">
        <v>148</v>
      </c>
      <c r="K2" s="136"/>
      <c r="L2" s="137"/>
    </row>
    <row r="3" spans="1:14" ht="15.75" x14ac:dyDescent="0.25">
      <c r="A3" s="1"/>
      <c r="B3" s="3" t="s">
        <v>9</v>
      </c>
      <c r="C3" s="1"/>
      <c r="D3" s="1"/>
      <c r="E3" s="1"/>
      <c r="F3" s="1"/>
      <c r="G3" s="1"/>
      <c r="J3" s="82" t="s">
        <v>149</v>
      </c>
      <c r="K3" s="151" t="s">
        <v>153</v>
      </c>
      <c r="L3" s="152"/>
    </row>
    <row r="4" spans="1:14" x14ac:dyDescent="0.25">
      <c r="A4" s="1"/>
      <c r="B4" s="1"/>
      <c r="C4" s="1"/>
      <c r="D4" s="1"/>
      <c r="E4" s="1"/>
      <c r="F4" s="1"/>
      <c r="G4" s="1"/>
      <c r="J4" s="82" t="s">
        <v>150</v>
      </c>
      <c r="K4" s="151"/>
      <c r="L4" s="152"/>
    </row>
    <row r="5" spans="1:14" x14ac:dyDescent="0.25">
      <c r="A5" s="1"/>
      <c r="B5" s="140" t="s">
        <v>0</v>
      </c>
      <c r="C5" s="136"/>
      <c r="D5" s="137"/>
      <c r="E5" s="1"/>
      <c r="F5" s="1"/>
      <c r="G5" s="1"/>
      <c r="J5" s="82" t="s">
        <v>154</v>
      </c>
      <c r="K5" s="81" t="s">
        <v>90</v>
      </c>
      <c r="L5" s="95">
        <v>44825</v>
      </c>
    </row>
    <row r="6" spans="1:14" x14ac:dyDescent="0.25">
      <c r="A6" s="1"/>
      <c r="B6" s="4" t="s">
        <v>1</v>
      </c>
      <c r="C6" s="65">
        <v>0.12620000000000001</v>
      </c>
      <c r="D6" s="5"/>
      <c r="E6" s="1"/>
      <c r="F6" s="1"/>
      <c r="G6" s="1"/>
      <c r="J6" s="83" t="s">
        <v>151</v>
      </c>
      <c r="K6" s="153" t="s">
        <v>152</v>
      </c>
      <c r="L6" s="154"/>
    </row>
    <row r="7" spans="1:14" x14ac:dyDescent="0.25">
      <c r="A7" s="1"/>
      <c r="B7" s="4" t="s">
        <v>2</v>
      </c>
      <c r="C7" s="6">
        <f>780.09/15</f>
        <v>52.006</v>
      </c>
      <c r="D7" s="73" t="s">
        <v>90</v>
      </c>
      <c r="E7" s="1"/>
      <c r="F7" s="1"/>
      <c r="G7" s="1"/>
    </row>
    <row r="8" spans="1:14" x14ac:dyDescent="0.25">
      <c r="A8" s="1"/>
      <c r="B8" s="4" t="s">
        <v>3</v>
      </c>
      <c r="C8" s="6">
        <f>C6*C7</f>
        <v>6.5631572</v>
      </c>
      <c r="D8" s="7"/>
      <c r="E8" s="1"/>
      <c r="F8" s="1"/>
      <c r="G8" s="1"/>
    </row>
    <row r="9" spans="1:14" x14ac:dyDescent="0.25">
      <c r="A9" s="1"/>
      <c r="B9" s="4" t="s">
        <v>4</v>
      </c>
      <c r="C9" s="6">
        <v>7.75</v>
      </c>
      <c r="D9" s="73" t="s">
        <v>244</v>
      </c>
      <c r="E9" s="1"/>
      <c r="F9" s="140" t="s">
        <v>59</v>
      </c>
      <c r="G9" s="136"/>
      <c r="H9" s="136"/>
      <c r="I9" s="136"/>
      <c r="J9" s="136"/>
      <c r="K9" s="136"/>
      <c r="L9" s="136"/>
      <c r="M9" s="136"/>
      <c r="N9" s="137"/>
    </row>
    <row r="10" spans="1:14" x14ac:dyDescent="0.25">
      <c r="A10" s="1"/>
      <c r="B10" s="4" t="s">
        <v>5</v>
      </c>
      <c r="C10" s="6">
        <v>0</v>
      </c>
      <c r="D10" s="73" t="s">
        <v>244</v>
      </c>
      <c r="E10" s="1"/>
      <c r="F10" s="114">
        <v>43770</v>
      </c>
      <c r="G10" s="22" t="s">
        <v>57</v>
      </c>
      <c r="H10" s="22"/>
      <c r="I10" s="22"/>
      <c r="J10" s="22"/>
      <c r="K10" s="22"/>
      <c r="L10" s="22"/>
      <c r="M10" s="22"/>
      <c r="N10" s="23"/>
    </row>
    <row r="11" spans="1:14" x14ac:dyDescent="0.25">
      <c r="A11" s="1"/>
      <c r="B11" s="4" t="s">
        <v>6</v>
      </c>
      <c r="C11" s="6">
        <f>C9-C10</f>
        <v>7.75</v>
      </c>
      <c r="D11" s="8"/>
      <c r="E11" s="1"/>
      <c r="F11" s="114">
        <v>43891</v>
      </c>
      <c r="G11" s="22" t="s">
        <v>66</v>
      </c>
      <c r="H11" s="22"/>
      <c r="I11" s="22"/>
      <c r="J11" s="22"/>
      <c r="K11" s="22"/>
      <c r="L11" s="22"/>
      <c r="M11" s="22"/>
      <c r="N11" s="23"/>
    </row>
    <row r="12" spans="1:14" x14ac:dyDescent="0.25">
      <c r="A12" s="1"/>
      <c r="B12" s="9" t="s">
        <v>7</v>
      </c>
      <c r="C12" s="10">
        <f>C8-C9+C10</f>
        <v>-1.1868428</v>
      </c>
      <c r="D12" s="11"/>
      <c r="E12" s="1"/>
      <c r="F12" s="114">
        <v>44166</v>
      </c>
      <c r="G12" s="22" t="s">
        <v>58</v>
      </c>
      <c r="H12" s="22"/>
      <c r="I12" s="22"/>
      <c r="J12" s="22"/>
      <c r="K12" s="22"/>
      <c r="L12" s="22"/>
      <c r="M12" s="22"/>
      <c r="N12" s="23"/>
    </row>
    <row r="13" spans="1:14" x14ac:dyDescent="0.25">
      <c r="A13" s="1"/>
      <c r="B13" s="1"/>
      <c r="C13" s="1"/>
      <c r="D13" s="1"/>
      <c r="E13" s="1"/>
      <c r="F13" s="114">
        <v>44166</v>
      </c>
      <c r="G13" s="22" t="s">
        <v>133</v>
      </c>
      <c r="H13" s="22"/>
      <c r="I13" s="22"/>
      <c r="J13" s="22"/>
      <c r="K13" s="22"/>
      <c r="L13" s="22"/>
      <c r="M13" s="22"/>
      <c r="N13" s="23"/>
    </row>
    <row r="14" spans="1:14" x14ac:dyDescent="0.25">
      <c r="A14" s="1"/>
      <c r="B14" s="1"/>
      <c r="C14" s="1"/>
      <c r="D14" s="1"/>
      <c r="E14" s="1"/>
      <c r="F14" s="114">
        <v>44197</v>
      </c>
      <c r="G14" s="22" t="s">
        <v>64</v>
      </c>
      <c r="H14" s="22"/>
      <c r="I14" s="22"/>
      <c r="J14" s="22"/>
      <c r="K14" s="22"/>
      <c r="L14" s="22"/>
      <c r="M14" s="22"/>
      <c r="N14" s="23"/>
    </row>
    <row r="15" spans="1:14" x14ac:dyDescent="0.25">
      <c r="A15" s="1"/>
      <c r="B15" s="135" t="s">
        <v>10</v>
      </c>
      <c r="C15" s="136"/>
      <c r="D15" s="137"/>
      <c r="E15" s="1"/>
      <c r="F15" s="114">
        <v>44287</v>
      </c>
      <c r="G15" s="22" t="s">
        <v>98</v>
      </c>
      <c r="H15" s="22"/>
      <c r="I15" s="22"/>
      <c r="J15" s="22"/>
      <c r="K15" s="22"/>
      <c r="L15" s="22"/>
      <c r="M15" s="22"/>
      <c r="N15" s="23"/>
    </row>
    <row r="16" spans="1:14" x14ac:dyDescent="0.25">
      <c r="A16" s="1"/>
      <c r="B16" s="18" t="s">
        <v>11</v>
      </c>
      <c r="C16" s="139" t="s">
        <v>13</v>
      </c>
      <c r="D16" s="138"/>
      <c r="E16" s="1"/>
      <c r="F16" s="114">
        <v>44317</v>
      </c>
      <c r="G16" s="22" t="s">
        <v>99</v>
      </c>
      <c r="H16" s="22"/>
      <c r="I16" s="22"/>
      <c r="J16" s="22"/>
      <c r="K16" s="22"/>
      <c r="L16" s="22"/>
      <c r="M16" s="22"/>
      <c r="N16" s="23"/>
    </row>
    <row r="17" spans="2:29" x14ac:dyDescent="0.25">
      <c r="B17" s="18" t="s">
        <v>12</v>
      </c>
      <c r="C17" s="139" t="s">
        <v>15</v>
      </c>
      <c r="D17" s="138"/>
      <c r="F17" s="114">
        <v>44348</v>
      </c>
      <c r="G17" s="22" t="s">
        <v>100</v>
      </c>
      <c r="H17" s="22"/>
      <c r="I17" s="22"/>
      <c r="J17" s="22"/>
      <c r="K17" s="22"/>
      <c r="L17" s="22"/>
      <c r="M17" s="22"/>
      <c r="N17" s="23"/>
    </row>
    <row r="18" spans="2:29" x14ac:dyDescent="0.25">
      <c r="B18" s="18" t="s">
        <v>14</v>
      </c>
      <c r="C18" s="138"/>
      <c r="D18" s="138"/>
      <c r="F18" s="114">
        <v>44409</v>
      </c>
      <c r="G18" s="22" t="s">
        <v>101</v>
      </c>
      <c r="H18" s="22"/>
      <c r="I18" s="22"/>
      <c r="J18" s="22"/>
      <c r="K18" s="22"/>
      <c r="L18" s="22"/>
      <c r="M18" s="22"/>
      <c r="N18" s="23"/>
    </row>
    <row r="19" spans="2:29" x14ac:dyDescent="0.25">
      <c r="B19" s="18"/>
      <c r="C19" s="138"/>
      <c r="D19" s="138"/>
      <c r="F19" s="114">
        <v>44440</v>
      </c>
      <c r="G19" s="22" t="s">
        <v>102</v>
      </c>
      <c r="H19" s="22"/>
      <c r="I19" s="22"/>
      <c r="J19" s="22"/>
      <c r="K19" s="22"/>
      <c r="L19" s="22"/>
      <c r="M19" s="22"/>
      <c r="N19" s="23"/>
    </row>
    <row r="20" spans="2:29" x14ac:dyDescent="0.25">
      <c r="B20" s="18" t="s">
        <v>52</v>
      </c>
      <c r="C20" s="139" t="s">
        <v>51</v>
      </c>
      <c r="D20" s="138"/>
      <c r="F20" s="114">
        <v>44501</v>
      </c>
      <c r="G20" s="22" t="s">
        <v>147</v>
      </c>
      <c r="H20" s="22"/>
      <c r="I20" s="22"/>
      <c r="J20" s="22"/>
      <c r="K20" s="22"/>
      <c r="L20" s="22"/>
      <c r="M20" s="22"/>
      <c r="N20" s="23"/>
    </row>
    <row r="21" spans="2:29" x14ac:dyDescent="0.25">
      <c r="B21" s="18"/>
      <c r="C21" s="138"/>
      <c r="D21" s="138"/>
      <c r="F21" s="114">
        <v>44652</v>
      </c>
      <c r="G21" s="22" t="s">
        <v>146</v>
      </c>
      <c r="H21" s="22"/>
      <c r="I21" s="22"/>
      <c r="J21" s="22"/>
      <c r="K21" s="22"/>
      <c r="L21" s="22"/>
      <c r="M21" s="22"/>
      <c r="N21" s="23"/>
    </row>
    <row r="22" spans="2:29" x14ac:dyDescent="0.25">
      <c r="B22" s="19"/>
      <c r="C22" s="145"/>
      <c r="D22" s="144"/>
      <c r="F22" s="114">
        <v>44726</v>
      </c>
      <c r="G22" s="22" t="s">
        <v>132</v>
      </c>
      <c r="H22" s="22"/>
      <c r="I22" s="22"/>
      <c r="J22" s="22"/>
      <c r="K22" s="22"/>
      <c r="L22" s="22"/>
      <c r="M22" s="22"/>
      <c r="N22" s="23"/>
    </row>
    <row r="23" spans="2:29" x14ac:dyDescent="0.25">
      <c r="F23" s="114"/>
      <c r="G23" s="77" t="s">
        <v>134</v>
      </c>
      <c r="H23" s="22"/>
      <c r="I23" s="22"/>
      <c r="J23" s="22"/>
      <c r="K23" s="22"/>
      <c r="L23" s="22"/>
      <c r="M23" s="22"/>
      <c r="N23" s="23"/>
    </row>
    <row r="24" spans="2:29" x14ac:dyDescent="0.25">
      <c r="B24" s="140" t="s">
        <v>237</v>
      </c>
      <c r="C24" s="136"/>
      <c r="D24" s="137"/>
      <c r="F24" s="114">
        <v>44743</v>
      </c>
      <c r="G24" s="77" t="s">
        <v>136</v>
      </c>
      <c r="H24" s="22"/>
      <c r="I24" s="22"/>
      <c r="J24" s="22"/>
      <c r="K24" s="22"/>
      <c r="L24" s="22"/>
      <c r="M24" s="22"/>
      <c r="N24" s="23"/>
      <c r="P24" s="140" t="s">
        <v>155</v>
      </c>
      <c r="Q24" s="136"/>
      <c r="R24" s="137"/>
      <c r="W24" s="140" t="s">
        <v>163</v>
      </c>
      <c r="X24" s="136"/>
      <c r="Y24" s="136"/>
      <c r="Z24" s="136"/>
      <c r="AA24" s="136"/>
      <c r="AB24" s="136"/>
      <c r="AC24" s="137"/>
    </row>
    <row r="25" spans="2:29" x14ac:dyDescent="0.25">
      <c r="B25" s="120">
        <v>45047</v>
      </c>
      <c r="C25" s="143" t="s">
        <v>238</v>
      </c>
      <c r="D25" s="144"/>
      <c r="F25" s="114">
        <v>44743</v>
      </c>
      <c r="G25" s="22" t="s">
        <v>139</v>
      </c>
      <c r="H25" s="22"/>
      <c r="I25" s="22"/>
      <c r="J25" s="22"/>
      <c r="K25" s="22"/>
      <c r="L25" s="22"/>
      <c r="M25" s="22"/>
      <c r="N25" s="23"/>
      <c r="P25" s="82" t="s">
        <v>156</v>
      </c>
      <c r="Q25" s="146" t="s">
        <v>152</v>
      </c>
      <c r="R25" s="147"/>
      <c r="W25" s="112" t="s">
        <v>164</v>
      </c>
      <c r="X25" s="22"/>
      <c r="Y25" s="22"/>
      <c r="Z25" s="22"/>
      <c r="AA25" s="22"/>
      <c r="AB25" s="22"/>
      <c r="AC25" s="23"/>
    </row>
    <row r="26" spans="2:29" x14ac:dyDescent="0.25">
      <c r="F26" s="114">
        <v>44774</v>
      </c>
      <c r="G26" s="22" t="s">
        <v>138</v>
      </c>
      <c r="H26" s="22"/>
      <c r="I26" s="22"/>
      <c r="J26" s="22"/>
      <c r="K26" s="22"/>
      <c r="L26" s="22"/>
      <c r="M26" s="22"/>
      <c r="N26" s="23"/>
      <c r="P26" s="82" t="s">
        <v>157</v>
      </c>
      <c r="Q26" s="146" t="s">
        <v>152</v>
      </c>
      <c r="R26" s="147"/>
      <c r="W26" s="112" t="s">
        <v>169</v>
      </c>
      <c r="X26" s="22"/>
      <c r="Y26" s="22"/>
      <c r="Z26" s="22"/>
      <c r="AA26" s="22"/>
      <c r="AB26" s="22"/>
      <c r="AC26" s="23"/>
    </row>
    <row r="27" spans="2:29" x14ac:dyDescent="0.25">
      <c r="B27" s="135" t="s">
        <v>60</v>
      </c>
      <c r="C27" s="136"/>
      <c r="D27" s="137"/>
      <c r="F27" s="114">
        <v>44835</v>
      </c>
      <c r="G27" s="98" t="s">
        <v>158</v>
      </c>
      <c r="H27" s="22"/>
      <c r="I27" s="22"/>
      <c r="J27" s="22"/>
      <c r="K27" s="22"/>
      <c r="L27" s="22"/>
      <c r="M27" s="22"/>
      <c r="N27" s="23"/>
      <c r="P27" s="83"/>
      <c r="Q27" s="148"/>
      <c r="R27" s="149"/>
      <c r="W27" s="112" t="s">
        <v>165</v>
      </c>
      <c r="X27" s="22"/>
      <c r="Y27" s="22"/>
      <c r="Z27" s="22"/>
      <c r="AA27" s="22"/>
      <c r="AB27" s="22"/>
      <c r="AC27" s="23"/>
    </row>
    <row r="28" spans="2:29" x14ac:dyDescent="0.25">
      <c r="B28" s="26">
        <v>43922</v>
      </c>
      <c r="C28" s="139" t="s">
        <v>61</v>
      </c>
      <c r="D28" s="138"/>
      <c r="F28" s="114">
        <v>45047</v>
      </c>
      <c r="G28" s="98" t="s">
        <v>240</v>
      </c>
      <c r="H28" s="22"/>
      <c r="I28" s="22"/>
      <c r="J28" s="22"/>
      <c r="K28" s="22"/>
      <c r="L28" s="22"/>
      <c r="M28" s="22"/>
      <c r="N28" s="23"/>
      <c r="W28" s="112" t="s">
        <v>166</v>
      </c>
      <c r="X28" s="22"/>
      <c r="Y28" s="22"/>
      <c r="Z28" s="22"/>
      <c r="AA28" s="22"/>
      <c r="AB28" s="22"/>
      <c r="AC28" s="23"/>
    </row>
    <row r="29" spans="2:29" x14ac:dyDescent="0.25">
      <c r="B29" s="27">
        <v>44228</v>
      </c>
      <c r="C29" s="145" t="s">
        <v>65</v>
      </c>
      <c r="D29" s="144"/>
      <c r="F29" s="114">
        <v>45047</v>
      </c>
      <c r="G29" s="98" t="s">
        <v>239</v>
      </c>
      <c r="H29" s="22"/>
      <c r="I29" s="22"/>
      <c r="J29" s="22"/>
      <c r="K29" s="22"/>
      <c r="L29" s="22"/>
      <c r="M29" s="22"/>
      <c r="N29" s="23"/>
      <c r="W29" s="112" t="s">
        <v>167</v>
      </c>
      <c r="X29" s="22"/>
      <c r="Y29" s="22"/>
      <c r="Z29" s="22"/>
      <c r="AA29" s="22"/>
      <c r="AB29" s="22"/>
      <c r="AC29" s="23"/>
    </row>
    <row r="30" spans="2:29" x14ac:dyDescent="0.25">
      <c r="F30" s="114">
        <v>45108</v>
      </c>
      <c r="G30" s="98" t="s">
        <v>241</v>
      </c>
      <c r="H30" s="22"/>
      <c r="I30" s="22"/>
      <c r="J30" s="22"/>
      <c r="K30" s="22"/>
      <c r="L30" s="22"/>
      <c r="M30" s="22"/>
      <c r="N30" s="23"/>
      <c r="W30" s="112" t="s">
        <v>168</v>
      </c>
      <c r="X30" s="22"/>
      <c r="Y30" s="22"/>
      <c r="Z30" s="22"/>
      <c r="AA30" s="22"/>
      <c r="AB30" s="22"/>
      <c r="AC30" s="23"/>
    </row>
    <row r="31" spans="2:29" x14ac:dyDescent="0.25">
      <c r="B31" s="135" t="s">
        <v>62</v>
      </c>
      <c r="C31" s="136"/>
      <c r="D31" s="137"/>
      <c r="F31" s="115">
        <v>45292</v>
      </c>
      <c r="G31" s="78" t="s">
        <v>243</v>
      </c>
      <c r="H31" s="24"/>
      <c r="I31" s="24"/>
      <c r="J31" s="24"/>
      <c r="K31" s="24"/>
      <c r="L31" s="24"/>
      <c r="M31" s="24"/>
      <c r="N31" s="25"/>
      <c r="W31" s="112" t="s">
        <v>170</v>
      </c>
      <c r="X31" s="22"/>
      <c r="Y31" s="22"/>
      <c r="Z31" s="22"/>
      <c r="AA31" s="22"/>
      <c r="AB31" s="22"/>
      <c r="AC31" s="23"/>
    </row>
    <row r="32" spans="2:29" x14ac:dyDescent="0.25">
      <c r="B32" s="26">
        <v>44136</v>
      </c>
      <c r="C32" s="139" t="s">
        <v>63</v>
      </c>
      <c r="D32" s="138"/>
      <c r="W32" s="117" t="s">
        <v>171</v>
      </c>
      <c r="X32" s="22"/>
      <c r="Y32" s="22"/>
      <c r="Z32" s="22"/>
      <c r="AA32" s="22"/>
      <c r="AB32" s="22"/>
      <c r="AC32" s="23"/>
    </row>
    <row r="33" spans="2:29" x14ac:dyDescent="0.25">
      <c r="B33" s="28">
        <v>44348</v>
      </c>
      <c r="C33" s="145" t="s">
        <v>67</v>
      </c>
      <c r="D33" s="144"/>
      <c r="W33" s="112" t="s">
        <v>172</v>
      </c>
      <c r="X33" s="22"/>
      <c r="Y33" s="22"/>
      <c r="Z33" s="22"/>
      <c r="AA33" s="22"/>
      <c r="AB33" s="22"/>
      <c r="AC33" s="23"/>
    </row>
    <row r="34" spans="2:29" x14ac:dyDescent="0.25">
      <c r="W34" s="112" t="s">
        <v>173</v>
      </c>
      <c r="X34" s="22"/>
      <c r="Y34" s="22"/>
      <c r="Z34" s="22"/>
      <c r="AA34" s="22"/>
      <c r="AB34" s="22"/>
      <c r="AC34" s="23"/>
    </row>
    <row r="35" spans="2:29" x14ac:dyDescent="0.25">
      <c r="W35" s="117" t="s">
        <v>174</v>
      </c>
      <c r="X35" s="22"/>
      <c r="Y35" s="22"/>
      <c r="Z35" s="22"/>
      <c r="AA35" s="22"/>
      <c r="AB35" s="22"/>
      <c r="AC35" s="23"/>
    </row>
    <row r="36" spans="2:29" x14ac:dyDescent="0.25">
      <c r="B36" s="140" t="s">
        <v>140</v>
      </c>
      <c r="C36" s="136"/>
      <c r="D36" s="137"/>
      <c r="F36" s="140" t="s">
        <v>103</v>
      </c>
      <c r="G36" s="136"/>
      <c r="H36" s="136"/>
      <c r="I36" s="136"/>
      <c r="J36" s="136"/>
      <c r="K36" s="136"/>
      <c r="L36" s="136"/>
      <c r="M36" s="136"/>
      <c r="N36" s="136"/>
      <c r="O36" s="137"/>
      <c r="W36" s="112" t="s">
        <v>175</v>
      </c>
      <c r="X36" s="22"/>
      <c r="Y36" s="22"/>
      <c r="Z36" s="22"/>
      <c r="AA36" s="22"/>
      <c r="AB36" s="22"/>
      <c r="AC36" s="23"/>
    </row>
    <row r="37" spans="2:29" x14ac:dyDescent="0.25">
      <c r="B37" s="96" t="s">
        <v>141</v>
      </c>
      <c r="C37" s="141">
        <f>C6/SUM('Financial Model'!H20:I20)</f>
        <v>39.329321190103592</v>
      </c>
      <c r="D37" s="142"/>
      <c r="F37" s="155" t="s">
        <v>104</v>
      </c>
      <c r="G37" s="156"/>
      <c r="H37" s="22" t="s">
        <v>108</v>
      </c>
      <c r="I37" s="22"/>
      <c r="J37" s="22"/>
      <c r="K37" s="22"/>
      <c r="L37" s="22"/>
      <c r="M37" s="22"/>
      <c r="N37" s="22"/>
      <c r="O37" s="23"/>
      <c r="W37" s="117" t="s">
        <v>176</v>
      </c>
      <c r="X37" s="22"/>
      <c r="Y37" s="22"/>
      <c r="Z37" s="22"/>
      <c r="AA37" s="22"/>
      <c r="AB37" s="22"/>
      <c r="AC37" s="23"/>
    </row>
    <row r="38" spans="2:29" x14ac:dyDescent="0.25">
      <c r="B38" s="96" t="s">
        <v>142</v>
      </c>
      <c r="C38" s="141">
        <f>C6/'Financial Model'!I58</f>
        <v>11.54403543586109</v>
      </c>
      <c r="D38" s="142"/>
      <c r="F38" s="155" t="s">
        <v>105</v>
      </c>
      <c r="G38" s="156"/>
      <c r="H38" s="22" t="s">
        <v>109</v>
      </c>
      <c r="I38" s="22"/>
      <c r="J38" s="22"/>
      <c r="K38" s="22"/>
      <c r="L38" s="22"/>
      <c r="M38" s="22"/>
      <c r="N38" s="22"/>
      <c r="O38" s="23"/>
      <c r="W38" s="117" t="s">
        <v>177</v>
      </c>
      <c r="X38" s="22"/>
      <c r="Y38" s="22"/>
      <c r="Z38" s="22"/>
      <c r="AA38" s="22"/>
      <c r="AB38" s="22"/>
      <c r="AC38" s="23"/>
    </row>
    <row r="39" spans="2:29" x14ac:dyDescent="0.25">
      <c r="B39" s="96" t="s">
        <v>159</v>
      </c>
      <c r="C39" s="141">
        <f>C8/SUM('Financial Model'!H4:I4)</f>
        <v>0.28617767052246557</v>
      </c>
      <c r="D39" s="142"/>
      <c r="F39" s="157" t="s">
        <v>106</v>
      </c>
      <c r="G39" s="158"/>
      <c r="H39" s="24" t="s">
        <v>135</v>
      </c>
      <c r="I39" s="24"/>
      <c r="J39" s="24"/>
      <c r="K39" s="24"/>
      <c r="L39" s="24"/>
      <c r="M39" s="24"/>
      <c r="N39" s="24"/>
      <c r="O39" s="25"/>
      <c r="P39" s="74" t="s">
        <v>131</v>
      </c>
      <c r="W39" s="112" t="s">
        <v>178</v>
      </c>
      <c r="X39" s="22"/>
      <c r="Y39" s="22"/>
      <c r="Z39" s="22"/>
      <c r="AA39" s="22"/>
      <c r="AB39" s="22"/>
      <c r="AC39" s="23"/>
    </row>
    <row r="40" spans="2:29" x14ac:dyDescent="0.25">
      <c r="B40" s="96" t="s">
        <v>160</v>
      </c>
      <c r="C40" s="141">
        <f>C12/SUM('Financial Model'!H4:I4)</f>
        <v>-5.1750689101330759E-2</v>
      </c>
      <c r="D40" s="142"/>
      <c r="W40" s="118" t="s">
        <v>179</v>
      </c>
      <c r="X40" s="22"/>
      <c r="Y40" s="22"/>
      <c r="Z40" s="22"/>
      <c r="AA40" s="22"/>
      <c r="AB40" s="22"/>
      <c r="AC40" s="23"/>
    </row>
    <row r="41" spans="2:29" x14ac:dyDescent="0.25">
      <c r="B41" s="96" t="s">
        <v>145</v>
      </c>
      <c r="C41" s="141">
        <f>C12/SUM('Financial Model'!H19:I19)</f>
        <v>-0.52015223589902682</v>
      </c>
      <c r="D41" s="142"/>
      <c r="W41" s="112"/>
      <c r="X41" s="22"/>
      <c r="Y41" s="22"/>
      <c r="Z41" s="22"/>
      <c r="AA41" s="22"/>
      <c r="AB41" s="22"/>
      <c r="AC41" s="23"/>
    </row>
    <row r="42" spans="2:29" x14ac:dyDescent="0.25">
      <c r="B42" s="97" t="s">
        <v>161</v>
      </c>
      <c r="C42" s="150">
        <f>'Financial Model'!I69</f>
        <v>0.17112763138524958</v>
      </c>
      <c r="D42" s="149"/>
      <c r="W42" s="119" t="s">
        <v>180</v>
      </c>
      <c r="X42" s="22"/>
      <c r="Y42" s="22"/>
      <c r="Z42" s="22"/>
      <c r="AA42" s="22"/>
      <c r="AB42" s="22"/>
      <c r="AC42" s="23"/>
    </row>
    <row r="43" spans="2:29" x14ac:dyDescent="0.25">
      <c r="W43" s="112" t="s">
        <v>181</v>
      </c>
      <c r="X43" s="22"/>
      <c r="Y43" s="22"/>
      <c r="Z43" s="22"/>
      <c r="AA43" s="22"/>
      <c r="AB43" s="22"/>
      <c r="AC43" s="23"/>
    </row>
    <row r="44" spans="2:29" x14ac:dyDescent="0.25">
      <c r="W44" s="112" t="s">
        <v>182</v>
      </c>
      <c r="X44" s="22"/>
      <c r="Y44" s="22"/>
      <c r="Z44" s="22"/>
      <c r="AA44" s="22"/>
      <c r="AB44" s="22"/>
      <c r="AC44" s="23"/>
    </row>
    <row r="45" spans="2:29" x14ac:dyDescent="0.25">
      <c r="W45" s="112" t="s">
        <v>183</v>
      </c>
      <c r="X45" s="22"/>
      <c r="Y45" s="22"/>
      <c r="Z45" s="22"/>
      <c r="AA45" s="22"/>
      <c r="AB45" s="22"/>
      <c r="AC45" s="23"/>
    </row>
    <row r="46" spans="2:29" x14ac:dyDescent="0.25">
      <c r="W46" s="112" t="s">
        <v>184</v>
      </c>
      <c r="X46" s="22"/>
      <c r="Y46" s="22"/>
      <c r="Z46" s="22"/>
      <c r="AA46" s="22"/>
      <c r="AB46" s="22"/>
      <c r="AC46" s="23"/>
    </row>
    <row r="47" spans="2:29" x14ac:dyDescent="0.25">
      <c r="W47" s="112" t="s">
        <v>185</v>
      </c>
      <c r="X47" s="22"/>
      <c r="Y47" s="22"/>
      <c r="Z47" s="22"/>
      <c r="AA47" s="22"/>
      <c r="AB47" s="22"/>
      <c r="AC47" s="23"/>
    </row>
    <row r="48" spans="2:29" x14ac:dyDescent="0.25">
      <c r="W48" s="112" t="s">
        <v>186</v>
      </c>
      <c r="X48" s="22"/>
      <c r="Y48" s="22"/>
      <c r="Z48" s="22"/>
      <c r="AA48" s="22"/>
      <c r="AB48" s="22"/>
      <c r="AC48" s="23"/>
    </row>
    <row r="49" spans="23:29" x14ac:dyDescent="0.25">
      <c r="W49" s="112" t="s">
        <v>187</v>
      </c>
      <c r="X49" s="22"/>
      <c r="Y49" s="22"/>
      <c r="Z49" s="22"/>
      <c r="AA49" s="22"/>
      <c r="AB49" s="22"/>
      <c r="AC49" s="23"/>
    </row>
    <row r="50" spans="23:29" x14ac:dyDescent="0.25">
      <c r="W50" s="112" t="s">
        <v>188</v>
      </c>
      <c r="X50" s="22"/>
      <c r="Y50" s="22"/>
      <c r="Z50" s="22"/>
      <c r="AA50" s="22"/>
      <c r="AB50" s="22"/>
      <c r="AC50" s="23"/>
    </row>
    <row r="51" spans="23:29" x14ac:dyDescent="0.25">
      <c r="W51" s="112" t="s">
        <v>189</v>
      </c>
      <c r="X51" s="22"/>
      <c r="Y51" s="22"/>
      <c r="Z51" s="22"/>
      <c r="AA51" s="22"/>
      <c r="AB51" s="22"/>
      <c r="AC51" s="23"/>
    </row>
    <row r="52" spans="23:29" x14ac:dyDescent="0.25">
      <c r="W52" s="112"/>
      <c r="X52" s="22"/>
      <c r="Y52" s="22"/>
      <c r="Z52" s="22"/>
      <c r="AA52" s="22"/>
      <c r="AB52" s="22"/>
      <c r="AC52" s="23"/>
    </row>
    <row r="53" spans="23:29" x14ac:dyDescent="0.25">
      <c r="W53" s="112" t="s">
        <v>190</v>
      </c>
      <c r="X53" s="22"/>
      <c r="Y53" s="22"/>
      <c r="Z53" s="22"/>
      <c r="AA53" s="22"/>
      <c r="AB53" s="22"/>
      <c r="AC53" s="23"/>
    </row>
    <row r="54" spans="23:29" x14ac:dyDescent="0.25">
      <c r="W54" s="112" t="s">
        <v>191</v>
      </c>
      <c r="X54" s="22"/>
      <c r="Y54" s="22"/>
      <c r="Z54" s="22"/>
      <c r="AA54" s="22"/>
      <c r="AB54" s="22"/>
      <c r="AC54" s="23"/>
    </row>
    <row r="55" spans="23:29" x14ac:dyDescent="0.25">
      <c r="W55" s="112"/>
      <c r="X55" s="22"/>
      <c r="Y55" s="22"/>
      <c r="Z55" s="22"/>
      <c r="AA55" s="22"/>
      <c r="AB55" s="22"/>
      <c r="AC55" s="23"/>
    </row>
    <row r="56" spans="23:29" x14ac:dyDescent="0.25">
      <c r="W56" s="119" t="s">
        <v>192</v>
      </c>
      <c r="X56" s="22"/>
      <c r="Y56" s="22"/>
      <c r="Z56" s="22"/>
      <c r="AA56" s="22"/>
      <c r="AB56" s="22"/>
      <c r="AC56" s="23"/>
    </row>
    <row r="57" spans="23:29" x14ac:dyDescent="0.25">
      <c r="W57" s="112" t="s">
        <v>193</v>
      </c>
      <c r="X57" s="22"/>
      <c r="Y57" s="22"/>
      <c r="Z57" s="22"/>
      <c r="AA57" s="22"/>
      <c r="AB57" s="22"/>
      <c r="AC57" s="23"/>
    </row>
    <row r="58" spans="23:29" x14ac:dyDescent="0.25">
      <c r="W58" s="112" t="s">
        <v>194</v>
      </c>
      <c r="X58" s="22"/>
      <c r="Y58" s="22"/>
      <c r="Z58" s="22"/>
      <c r="AA58" s="22"/>
      <c r="AB58" s="22"/>
      <c r="AC58" s="23"/>
    </row>
    <row r="59" spans="23:29" x14ac:dyDescent="0.25">
      <c r="W59" s="112" t="s">
        <v>195</v>
      </c>
      <c r="X59" s="22"/>
      <c r="Y59" s="22"/>
      <c r="Z59" s="22"/>
      <c r="AA59" s="22"/>
      <c r="AB59" s="22"/>
      <c r="AC59" s="23"/>
    </row>
    <row r="60" spans="23:29" x14ac:dyDescent="0.25">
      <c r="W60" s="112" t="s">
        <v>196</v>
      </c>
      <c r="X60" s="22"/>
      <c r="Y60" s="22"/>
      <c r="Z60" s="22"/>
      <c r="AA60" s="22"/>
      <c r="AB60" s="22"/>
      <c r="AC60" s="23"/>
    </row>
    <row r="61" spans="23:29" x14ac:dyDescent="0.25">
      <c r="W61" s="116" t="s">
        <v>197</v>
      </c>
      <c r="X61" s="22"/>
      <c r="Y61" s="22"/>
      <c r="Z61" s="22"/>
      <c r="AA61" s="22"/>
      <c r="AB61" s="22"/>
      <c r="AC61" s="23"/>
    </row>
    <row r="62" spans="23:29" x14ac:dyDescent="0.25">
      <c r="W62" s="112" t="s">
        <v>198</v>
      </c>
      <c r="X62" s="22"/>
      <c r="Y62" s="22"/>
      <c r="Z62" s="22"/>
      <c r="AA62" s="22"/>
      <c r="AB62" s="22"/>
      <c r="AC62" s="23"/>
    </row>
    <row r="63" spans="23:29" x14ac:dyDescent="0.25">
      <c r="W63" s="112" t="s">
        <v>199</v>
      </c>
      <c r="X63" s="22"/>
      <c r="Y63" s="22"/>
      <c r="Z63" s="22"/>
      <c r="AA63" s="22"/>
      <c r="AB63" s="22"/>
      <c r="AC63" s="23"/>
    </row>
    <row r="64" spans="23:29" x14ac:dyDescent="0.25">
      <c r="W64" s="112"/>
      <c r="X64" s="22"/>
      <c r="Y64" s="22"/>
      <c r="Z64" s="22"/>
      <c r="AA64" s="22"/>
      <c r="AB64" s="22"/>
      <c r="AC64" s="23"/>
    </row>
    <row r="65" spans="23:29" x14ac:dyDescent="0.25">
      <c r="W65" s="119" t="s">
        <v>200</v>
      </c>
      <c r="X65" s="22"/>
      <c r="Y65" s="22"/>
      <c r="Z65" s="22"/>
      <c r="AA65" s="22"/>
      <c r="AB65" s="22"/>
      <c r="AC65" s="23"/>
    </row>
    <row r="66" spans="23:29" x14ac:dyDescent="0.25">
      <c r="W66" s="112" t="s">
        <v>201</v>
      </c>
      <c r="X66" s="22"/>
      <c r="Y66" s="22"/>
      <c r="Z66" s="22"/>
      <c r="AA66" s="22"/>
      <c r="AB66" s="22"/>
      <c r="AC66" s="23"/>
    </row>
    <row r="67" spans="23:29" x14ac:dyDescent="0.25">
      <c r="W67" s="112" t="s">
        <v>202</v>
      </c>
      <c r="X67" s="22"/>
      <c r="Y67" s="22"/>
      <c r="Z67" s="22"/>
      <c r="AA67" s="22"/>
      <c r="AB67" s="22"/>
      <c r="AC67" s="23"/>
    </row>
    <row r="68" spans="23:29" x14ac:dyDescent="0.25">
      <c r="W68" s="112" t="s">
        <v>203</v>
      </c>
      <c r="X68" s="22"/>
      <c r="Y68" s="22"/>
      <c r="Z68" s="22"/>
      <c r="AA68" s="22"/>
      <c r="AB68" s="22"/>
      <c r="AC68" s="23"/>
    </row>
    <row r="69" spans="23:29" x14ac:dyDescent="0.25">
      <c r="W69" s="112" t="s">
        <v>204</v>
      </c>
      <c r="X69" s="22"/>
      <c r="Y69" s="22"/>
      <c r="Z69" s="22"/>
      <c r="AA69" s="22"/>
      <c r="AB69" s="22"/>
      <c r="AC69" s="23"/>
    </row>
    <row r="70" spans="23:29" x14ac:dyDescent="0.25">
      <c r="W70" s="116" t="s">
        <v>205</v>
      </c>
      <c r="X70" s="22"/>
      <c r="Y70" s="22"/>
      <c r="Z70" s="22"/>
      <c r="AA70" s="22"/>
      <c r="AB70" s="22"/>
      <c r="AC70" s="23"/>
    </row>
    <row r="71" spans="23:29" x14ac:dyDescent="0.25">
      <c r="W71" s="112"/>
      <c r="X71" s="22"/>
      <c r="Y71" s="22"/>
      <c r="Z71" s="22"/>
      <c r="AA71" s="22"/>
      <c r="AB71" s="22"/>
      <c r="AC71" s="23"/>
    </row>
    <row r="72" spans="23:29" x14ac:dyDescent="0.25">
      <c r="W72" s="119" t="s">
        <v>206</v>
      </c>
      <c r="X72" s="22"/>
      <c r="Y72" s="22"/>
      <c r="Z72" s="22"/>
      <c r="AA72" s="22"/>
      <c r="AB72" s="22"/>
      <c r="AC72" s="23"/>
    </row>
    <row r="73" spans="23:29" x14ac:dyDescent="0.25">
      <c r="W73" s="112" t="s">
        <v>207</v>
      </c>
      <c r="X73" s="22"/>
      <c r="Y73" s="22"/>
      <c r="Z73" s="22"/>
      <c r="AA73" s="22"/>
      <c r="AB73" s="22"/>
      <c r="AC73" s="23"/>
    </row>
    <row r="74" spans="23:29" x14ac:dyDescent="0.25">
      <c r="W74" s="116" t="s">
        <v>208</v>
      </c>
      <c r="X74" s="22"/>
      <c r="Y74" s="22"/>
      <c r="Z74" s="22"/>
      <c r="AA74" s="22"/>
      <c r="AB74" s="22"/>
      <c r="AC74" s="23"/>
    </row>
    <row r="75" spans="23:29" x14ac:dyDescent="0.25">
      <c r="W75" s="112" t="s">
        <v>209</v>
      </c>
      <c r="X75" s="22"/>
      <c r="Y75" s="22"/>
      <c r="Z75" s="22"/>
      <c r="AA75" s="22"/>
      <c r="AB75" s="22"/>
      <c r="AC75" s="23"/>
    </row>
    <row r="76" spans="23:29" x14ac:dyDescent="0.25">
      <c r="W76" s="116" t="s">
        <v>210</v>
      </c>
      <c r="X76" s="22"/>
      <c r="Y76" s="22"/>
      <c r="Z76" s="22"/>
      <c r="AA76" s="22"/>
      <c r="AB76" s="22"/>
      <c r="AC76" s="23"/>
    </row>
    <row r="77" spans="23:29" x14ac:dyDescent="0.25">
      <c r="W77" s="112" t="s">
        <v>211</v>
      </c>
      <c r="X77" s="22"/>
      <c r="Y77" s="22"/>
      <c r="Z77" s="22"/>
      <c r="AA77" s="22"/>
      <c r="AB77" s="22"/>
      <c r="AC77" s="23"/>
    </row>
    <row r="78" spans="23:29" x14ac:dyDescent="0.25">
      <c r="W78" s="112" t="s">
        <v>212</v>
      </c>
      <c r="X78" s="22"/>
      <c r="Y78" s="22"/>
      <c r="Z78" s="22"/>
      <c r="AA78" s="22"/>
      <c r="AB78" s="22"/>
      <c r="AC78" s="23"/>
    </row>
    <row r="79" spans="23:29" x14ac:dyDescent="0.25">
      <c r="W79" s="116" t="s">
        <v>213</v>
      </c>
      <c r="X79" s="22"/>
      <c r="Y79" s="22"/>
      <c r="Z79" s="22"/>
      <c r="AA79" s="22"/>
      <c r="AB79" s="22"/>
      <c r="AC79" s="23"/>
    </row>
    <row r="80" spans="23:29" x14ac:dyDescent="0.25">
      <c r="W80" s="112" t="s">
        <v>214</v>
      </c>
      <c r="X80" s="22"/>
      <c r="Y80" s="22"/>
      <c r="Z80" s="22"/>
      <c r="AA80" s="22"/>
      <c r="AB80" s="22"/>
      <c r="AC80" s="23"/>
    </row>
    <row r="81" spans="23:29" x14ac:dyDescent="0.25">
      <c r="W81" s="112" t="s">
        <v>215</v>
      </c>
      <c r="X81" s="22"/>
      <c r="Y81" s="22"/>
      <c r="Z81" s="22"/>
      <c r="AA81" s="22"/>
      <c r="AB81" s="22"/>
      <c r="AC81" s="23"/>
    </row>
    <row r="82" spans="23:29" x14ac:dyDescent="0.25">
      <c r="W82" s="112" t="s">
        <v>216</v>
      </c>
      <c r="X82" s="22"/>
      <c r="Y82" s="22"/>
      <c r="Z82" s="22"/>
      <c r="AA82" s="22"/>
      <c r="AB82" s="22"/>
      <c r="AC82" s="23"/>
    </row>
    <row r="83" spans="23:29" x14ac:dyDescent="0.25">
      <c r="W83" s="112"/>
      <c r="X83" s="22"/>
      <c r="Y83" s="22"/>
      <c r="Z83" s="22"/>
      <c r="AA83" s="22"/>
      <c r="AB83" s="22"/>
      <c r="AC83" s="23"/>
    </row>
    <row r="84" spans="23:29" x14ac:dyDescent="0.25">
      <c r="W84" s="119" t="s">
        <v>217</v>
      </c>
      <c r="X84" s="22"/>
      <c r="Y84" s="22"/>
      <c r="Z84" s="22"/>
      <c r="AA84" s="22"/>
      <c r="AB84" s="22"/>
      <c r="AC84" s="23"/>
    </row>
    <row r="85" spans="23:29" x14ac:dyDescent="0.25">
      <c r="W85" s="112" t="s">
        <v>218</v>
      </c>
      <c r="X85" s="22"/>
      <c r="Y85" s="22"/>
      <c r="Z85" s="22"/>
      <c r="AA85" s="22"/>
      <c r="AB85" s="22"/>
      <c r="AC85" s="23"/>
    </row>
    <row r="86" spans="23:29" x14ac:dyDescent="0.25">
      <c r="W86" s="112" t="s">
        <v>219</v>
      </c>
      <c r="X86" s="22"/>
      <c r="Y86" s="22"/>
      <c r="Z86" s="22"/>
      <c r="AA86" s="22"/>
      <c r="AB86" s="22"/>
      <c r="AC86" s="23"/>
    </row>
    <row r="87" spans="23:29" x14ac:dyDescent="0.25">
      <c r="W87" s="116" t="s">
        <v>220</v>
      </c>
      <c r="X87" s="22"/>
      <c r="Y87" s="22"/>
      <c r="Z87" s="22"/>
      <c r="AA87" s="22"/>
      <c r="AB87" s="22"/>
      <c r="AC87" s="23"/>
    </row>
    <row r="88" spans="23:29" x14ac:dyDescent="0.25">
      <c r="W88" s="112" t="s">
        <v>221</v>
      </c>
      <c r="X88" s="22"/>
      <c r="Y88" s="22"/>
      <c r="Z88" s="22"/>
      <c r="AA88" s="22"/>
      <c r="AB88" s="22"/>
      <c r="AC88" s="23"/>
    </row>
    <row r="89" spans="23:29" x14ac:dyDescent="0.25">
      <c r="W89" s="116" t="s">
        <v>222</v>
      </c>
      <c r="X89" s="22"/>
      <c r="Y89" s="22"/>
      <c r="Z89" s="22"/>
      <c r="AA89" s="22"/>
      <c r="AB89" s="22"/>
      <c r="AC89" s="23"/>
    </row>
    <row r="90" spans="23:29" x14ac:dyDescent="0.25">
      <c r="W90" s="112" t="s">
        <v>223</v>
      </c>
      <c r="X90" s="22"/>
      <c r="Y90" s="22"/>
      <c r="Z90" s="22"/>
      <c r="AA90" s="22"/>
      <c r="AB90" s="22"/>
      <c r="AC90" s="23"/>
    </row>
    <row r="91" spans="23:29" x14ac:dyDescent="0.25">
      <c r="W91" s="112" t="s">
        <v>224</v>
      </c>
      <c r="X91" s="22"/>
      <c r="Y91" s="22"/>
      <c r="Z91" s="22"/>
      <c r="AA91" s="22"/>
      <c r="AB91" s="22"/>
      <c r="AC91" s="23"/>
    </row>
    <row r="92" spans="23:29" x14ac:dyDescent="0.25">
      <c r="W92" s="116" t="s">
        <v>225</v>
      </c>
      <c r="X92" s="22"/>
      <c r="Y92" s="22"/>
      <c r="Z92" s="22"/>
      <c r="AA92" s="22"/>
      <c r="AB92" s="22"/>
      <c r="AC92" s="23"/>
    </row>
    <row r="93" spans="23:29" x14ac:dyDescent="0.25">
      <c r="W93" s="112"/>
      <c r="X93" s="22"/>
      <c r="Y93" s="22"/>
      <c r="Z93" s="22"/>
      <c r="AA93" s="22"/>
      <c r="AB93" s="22"/>
      <c r="AC93" s="23"/>
    </row>
    <row r="94" spans="23:29" x14ac:dyDescent="0.25">
      <c r="W94" s="112"/>
      <c r="X94" s="22"/>
      <c r="Y94" s="22"/>
      <c r="Z94" s="22"/>
      <c r="AA94" s="22"/>
      <c r="AB94" s="22"/>
      <c r="AC94" s="23"/>
    </row>
    <row r="95" spans="23:29" x14ac:dyDescent="0.25">
      <c r="W95" s="119" t="s">
        <v>226</v>
      </c>
      <c r="X95" s="22"/>
      <c r="Y95" s="22"/>
      <c r="Z95" s="22"/>
      <c r="AA95" s="22"/>
      <c r="AB95" s="22"/>
      <c r="AC95" s="23"/>
    </row>
    <row r="96" spans="23:29" x14ac:dyDescent="0.25">
      <c r="W96" s="112" t="s">
        <v>227</v>
      </c>
      <c r="X96" s="22"/>
      <c r="Y96" s="22"/>
      <c r="Z96" s="22"/>
      <c r="AA96" s="22"/>
      <c r="AB96" s="22"/>
      <c r="AC96" s="23"/>
    </row>
    <row r="97" spans="23:29" x14ac:dyDescent="0.25">
      <c r="W97" s="112" t="s">
        <v>228</v>
      </c>
      <c r="X97" s="22"/>
      <c r="Y97" s="22"/>
      <c r="Z97" s="22"/>
      <c r="AA97" s="22"/>
      <c r="AB97" s="22"/>
      <c r="AC97" s="23"/>
    </row>
    <row r="98" spans="23:29" x14ac:dyDescent="0.25">
      <c r="W98" s="112" t="s">
        <v>229</v>
      </c>
      <c r="X98" s="22"/>
      <c r="Y98" s="22"/>
      <c r="Z98" s="22"/>
      <c r="AA98" s="22"/>
      <c r="AB98" s="22"/>
      <c r="AC98" s="23"/>
    </row>
    <row r="99" spans="23:29" x14ac:dyDescent="0.25">
      <c r="W99" s="112" t="s">
        <v>230</v>
      </c>
      <c r="X99" s="22"/>
      <c r="Y99" s="22"/>
      <c r="Z99" s="22"/>
      <c r="AA99" s="22"/>
      <c r="AB99" s="22"/>
      <c r="AC99" s="23"/>
    </row>
    <row r="100" spans="23:29" x14ac:dyDescent="0.25">
      <c r="W100" s="112" t="s">
        <v>231</v>
      </c>
      <c r="X100" s="22"/>
      <c r="Y100" s="22"/>
      <c r="Z100" s="22"/>
      <c r="AA100" s="22"/>
      <c r="AB100" s="22"/>
      <c r="AC100" s="23"/>
    </row>
    <row r="101" spans="23:29" x14ac:dyDescent="0.25">
      <c r="W101" s="112" t="s">
        <v>232</v>
      </c>
      <c r="X101" s="22"/>
      <c r="Y101" s="22"/>
      <c r="Z101" s="22"/>
      <c r="AA101" s="22"/>
      <c r="AB101" s="22"/>
      <c r="AC101" s="23"/>
    </row>
    <row r="102" spans="23:29" x14ac:dyDescent="0.25">
      <c r="W102" s="112" t="s">
        <v>233</v>
      </c>
      <c r="X102" s="22"/>
      <c r="Y102" s="22"/>
      <c r="Z102" s="22"/>
      <c r="AA102" s="22"/>
      <c r="AB102" s="22"/>
      <c r="AC102" s="23"/>
    </row>
    <row r="103" spans="23:29" x14ac:dyDescent="0.25">
      <c r="W103" s="112" t="s">
        <v>234</v>
      </c>
      <c r="X103" s="22"/>
      <c r="Y103" s="22"/>
      <c r="Z103" s="22"/>
      <c r="AA103" s="22"/>
      <c r="AB103" s="22"/>
      <c r="AC103" s="23"/>
    </row>
    <row r="104" spans="23:29" x14ac:dyDescent="0.25">
      <c r="W104" s="112" t="s">
        <v>235</v>
      </c>
      <c r="X104" s="22"/>
      <c r="Y104" s="22"/>
      <c r="Z104" s="22"/>
      <c r="AA104" s="22"/>
      <c r="AB104" s="22"/>
      <c r="AC104" s="23"/>
    </row>
    <row r="105" spans="23:29" x14ac:dyDescent="0.25">
      <c r="W105" s="113" t="s">
        <v>236</v>
      </c>
      <c r="X105" s="24"/>
      <c r="Y105" s="24"/>
      <c r="Z105" s="24"/>
      <c r="AA105" s="24"/>
      <c r="AB105" s="24"/>
      <c r="AC105" s="25"/>
    </row>
  </sheetData>
  <mergeCells count="38">
    <mergeCell ref="C42:D42"/>
    <mergeCell ref="J2:L2"/>
    <mergeCell ref="K3:L3"/>
    <mergeCell ref="K6:L6"/>
    <mergeCell ref="K4:L4"/>
    <mergeCell ref="B36:D36"/>
    <mergeCell ref="F37:G37"/>
    <mergeCell ref="F38:G38"/>
    <mergeCell ref="F9:N9"/>
    <mergeCell ref="F39:G39"/>
    <mergeCell ref="F36:O36"/>
    <mergeCell ref="B27:D27"/>
    <mergeCell ref="C28:D28"/>
    <mergeCell ref="C29:D29"/>
    <mergeCell ref="B5:D5"/>
    <mergeCell ref="C16:D16"/>
    <mergeCell ref="Q26:R26"/>
    <mergeCell ref="Q27:R27"/>
    <mergeCell ref="P24:R24"/>
    <mergeCell ref="Q25:R25"/>
    <mergeCell ref="C41:D41"/>
    <mergeCell ref="B31:D31"/>
    <mergeCell ref="C32:D32"/>
    <mergeCell ref="C33:D33"/>
    <mergeCell ref="C40:D40"/>
    <mergeCell ref="C37:D37"/>
    <mergeCell ref="C17:D17"/>
    <mergeCell ref="C38:D38"/>
    <mergeCell ref="C39:D39"/>
    <mergeCell ref="B24:D24"/>
    <mergeCell ref="C25:D25"/>
    <mergeCell ref="C18:D18"/>
    <mergeCell ref="C22:D22"/>
    <mergeCell ref="B15:D15"/>
    <mergeCell ref="C19:D19"/>
    <mergeCell ref="C20:D20"/>
    <mergeCell ref="C21:D21"/>
    <mergeCell ref="W24:AC24"/>
  </mergeCells>
  <hyperlinks>
    <hyperlink ref="K6:L6" r:id="rId1" display="Link" xr:uid="{EBABCF04-F876-4DF1-ADF1-1B6F62DC4548}"/>
    <hyperlink ref="Q25:R25" r:id="rId2" display="Link" xr:uid="{B44AF9A0-26DA-4646-BD16-513FFB8F6C87}"/>
    <hyperlink ref="Q26:R26" r:id="rId3" display="Link" xr:uid="{95CF8495-03C0-4884-AA67-0EF8E6A9DD47}"/>
  </hyperlinks>
  <pageMargins left="0.7" right="0.7" top="0.75" bottom="0.75" header="0.3" footer="0.3"/>
  <pageSetup paperSize="119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6E7F-DECF-497C-AD87-2DA392DA01F4}">
  <dimension ref="B1:BK72"/>
  <sheetViews>
    <sheetView workbookViewId="0">
      <pane xSplit="2" ySplit="3" topLeftCell="I4" activePane="bottomRight" state="frozen"/>
      <selection pane="topRight" activeCell="C1" sqref="C1"/>
      <selection pane="bottomLeft" activeCell="A3" sqref="A3"/>
      <selection pane="bottomRight" activeCell="Z20" sqref="Z20"/>
    </sheetView>
  </sheetViews>
  <sheetFormatPr defaultColWidth="8.85546875" defaultRowHeight="15" x14ac:dyDescent="0.25"/>
  <cols>
    <col min="1" max="1" width="3.140625" customWidth="1"/>
    <col min="2" max="2" width="31.7109375" bestFit="1" customWidth="1"/>
    <col min="3" max="3" width="10.42578125" bestFit="1" customWidth="1"/>
    <col min="4" max="4" width="10.42578125" style="32" customWidth="1"/>
    <col min="5" max="5" width="10.42578125" bestFit="1" customWidth="1"/>
    <col min="6" max="6" width="10.42578125" style="32" customWidth="1"/>
    <col min="7" max="7" width="10.42578125" bestFit="1" customWidth="1"/>
    <col min="8" max="8" width="10.42578125" style="32" bestFit="1" customWidth="1"/>
    <col min="9" max="9" width="10.42578125" bestFit="1" customWidth="1"/>
    <col min="10" max="10" width="10.42578125" style="32" bestFit="1" customWidth="1"/>
    <col min="11" max="11" width="10.42578125" bestFit="1" customWidth="1"/>
    <col min="12" max="12" width="10.42578125" style="32" bestFit="1" customWidth="1"/>
    <col min="13" max="13" width="10.42578125" bestFit="1" customWidth="1"/>
    <col min="14" max="14" width="8.85546875" style="132"/>
    <col min="16" max="21" width="10.42578125" bestFit="1" customWidth="1"/>
    <col min="32" max="32" width="15.7109375" bestFit="1" customWidth="1"/>
    <col min="35" max="35" width="9.140625" bestFit="1" customWidth="1"/>
  </cols>
  <sheetData>
    <row r="1" spans="2:30" x14ac:dyDescent="0.25">
      <c r="C1" s="13" t="s">
        <v>87</v>
      </c>
      <c r="D1" s="30" t="s">
        <v>91</v>
      </c>
      <c r="E1" s="13" t="s">
        <v>88</v>
      </c>
      <c r="F1" s="30" t="s">
        <v>94</v>
      </c>
      <c r="G1" s="13" t="s">
        <v>89</v>
      </c>
      <c r="H1" s="30" t="s">
        <v>95</v>
      </c>
      <c r="I1" s="84" t="s">
        <v>90</v>
      </c>
      <c r="J1" s="30" t="s">
        <v>96</v>
      </c>
      <c r="K1" s="13" t="s">
        <v>242</v>
      </c>
      <c r="L1" s="30" t="s">
        <v>244</v>
      </c>
      <c r="M1" s="124" t="s">
        <v>245</v>
      </c>
      <c r="N1" s="126" t="s">
        <v>247</v>
      </c>
      <c r="O1" s="13"/>
      <c r="P1" s="13" t="s">
        <v>54</v>
      </c>
      <c r="Q1" s="13" t="s">
        <v>36</v>
      </c>
      <c r="R1" s="13" t="s">
        <v>27</v>
      </c>
      <c r="S1" s="13" t="s">
        <v>38</v>
      </c>
      <c r="T1" s="13" t="s">
        <v>37</v>
      </c>
      <c r="U1" s="124" t="s">
        <v>110</v>
      </c>
      <c r="V1" s="13" t="s">
        <v>111</v>
      </c>
      <c r="W1" s="13" t="s">
        <v>112</v>
      </c>
      <c r="X1" s="13" t="s">
        <v>113</v>
      </c>
      <c r="Y1" s="13" t="s">
        <v>114</v>
      </c>
      <c r="Z1" s="13" t="s">
        <v>115</v>
      </c>
      <c r="AA1" s="13" t="s">
        <v>116</v>
      </c>
      <c r="AB1" s="13" t="s">
        <v>117</v>
      </c>
      <c r="AC1" s="13" t="s">
        <v>118</v>
      </c>
      <c r="AD1" s="13" t="s">
        <v>119</v>
      </c>
    </row>
    <row r="2" spans="2:30" s="88" customFormat="1" x14ac:dyDescent="0.25">
      <c r="B2" s="86"/>
      <c r="C2" s="20">
        <v>43646</v>
      </c>
      <c r="D2" s="87" t="s">
        <v>92</v>
      </c>
      <c r="E2" s="20">
        <v>44012</v>
      </c>
      <c r="F2" s="87">
        <v>44196</v>
      </c>
      <c r="G2" s="20">
        <v>44377</v>
      </c>
      <c r="H2" s="87">
        <v>44561</v>
      </c>
      <c r="I2" s="20">
        <v>44742</v>
      </c>
      <c r="J2" s="87">
        <f>T2</f>
        <v>44926</v>
      </c>
      <c r="K2" s="20">
        <v>45107</v>
      </c>
      <c r="L2" s="87">
        <f>U2</f>
        <v>45291</v>
      </c>
      <c r="M2" s="20">
        <v>45473</v>
      </c>
      <c r="N2" s="127"/>
      <c r="P2" s="20">
        <v>43465</v>
      </c>
      <c r="Q2" s="20">
        <v>43830</v>
      </c>
      <c r="R2" s="20">
        <v>44196</v>
      </c>
      <c r="S2" s="20">
        <v>44561</v>
      </c>
      <c r="T2" s="20">
        <v>44926</v>
      </c>
      <c r="U2" s="20">
        <v>45291</v>
      </c>
      <c r="V2" s="40" t="s">
        <v>56</v>
      </c>
      <c r="W2" s="40" t="s">
        <v>56</v>
      </c>
      <c r="X2" s="40" t="s">
        <v>56</v>
      </c>
      <c r="Y2" s="40" t="s">
        <v>56</v>
      </c>
      <c r="Z2" s="40" t="s">
        <v>56</v>
      </c>
      <c r="AA2" s="40" t="s">
        <v>56</v>
      </c>
      <c r="AB2" s="40" t="s">
        <v>56</v>
      </c>
      <c r="AC2" s="40" t="s">
        <v>56</v>
      </c>
      <c r="AD2" s="40" t="s">
        <v>56</v>
      </c>
    </row>
    <row r="3" spans="2:30" s="75" customFormat="1" x14ac:dyDescent="0.25">
      <c r="B3"/>
      <c r="C3" s="14"/>
      <c r="D3" s="31"/>
      <c r="E3" s="14"/>
      <c r="F3" s="31"/>
      <c r="G3" s="14"/>
      <c r="H3" s="31"/>
      <c r="I3" s="85">
        <v>44825</v>
      </c>
      <c r="J3" s="76"/>
      <c r="K3" s="85">
        <v>45146</v>
      </c>
      <c r="L3" s="76"/>
      <c r="M3" s="121">
        <v>45561</v>
      </c>
      <c r="N3" s="127" t="s">
        <v>248</v>
      </c>
      <c r="P3" s="20"/>
      <c r="Q3" s="20"/>
      <c r="R3" s="14"/>
      <c r="S3" s="14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</row>
    <row r="4" spans="2:30" x14ac:dyDescent="0.25">
      <c r="B4" s="12" t="s">
        <v>16</v>
      </c>
      <c r="C4" s="63">
        <v>1.5716999999999998E-2</v>
      </c>
      <c r="D4" s="69">
        <f>Q4-C4</f>
        <v>1.6253E-2</v>
      </c>
      <c r="E4" s="63">
        <v>1.2707E-2</v>
      </c>
      <c r="F4" s="69">
        <f>R4-E4</f>
        <v>3.6773E-2</v>
      </c>
      <c r="G4" s="63">
        <v>3.2741449999999999</v>
      </c>
      <c r="H4" s="69">
        <f>S4-G4</f>
        <v>13.101855</v>
      </c>
      <c r="I4" s="71">
        <v>9.8320000000000007</v>
      </c>
      <c r="J4" s="125">
        <f>T4-I4</f>
        <v>12.481999999999999</v>
      </c>
      <c r="K4" s="71">
        <v>2.464</v>
      </c>
      <c r="L4" s="125">
        <f>U4-K4</f>
        <v>8.5129999999999999</v>
      </c>
      <c r="M4" s="71">
        <v>0.88100000000000001</v>
      </c>
      <c r="N4" s="128">
        <f>+M4*2.75</f>
        <v>2.4227500000000002</v>
      </c>
      <c r="O4" s="67"/>
      <c r="P4" s="63">
        <v>4.8380000000000003E-3</v>
      </c>
      <c r="Q4" s="63">
        <v>3.1969999999999998E-2</v>
      </c>
      <c r="R4" s="63">
        <v>4.9480000000000003E-2</v>
      </c>
      <c r="S4" s="63">
        <v>16.376000000000001</v>
      </c>
      <c r="T4" s="71">
        <v>22.314</v>
      </c>
      <c r="U4" s="71">
        <v>10.977</v>
      </c>
      <c r="V4" s="71">
        <f>N4+M4</f>
        <v>3.30375</v>
      </c>
      <c r="W4" s="71">
        <f t="shared" ref="W4:AD4" si="0">V4*1.25</f>
        <v>4.1296875000000002</v>
      </c>
      <c r="X4" s="71">
        <f t="shared" si="0"/>
        <v>5.162109375</v>
      </c>
      <c r="Y4" s="71">
        <f t="shared" si="0"/>
        <v>6.45263671875</v>
      </c>
      <c r="Z4" s="71">
        <f t="shared" si="0"/>
        <v>8.0657958984375</v>
      </c>
      <c r="AA4" s="71">
        <f t="shared" si="0"/>
        <v>10.082244873046875</v>
      </c>
      <c r="AB4" s="71">
        <f t="shared" si="0"/>
        <v>12.602806091308594</v>
      </c>
      <c r="AC4" s="71">
        <f t="shared" si="0"/>
        <v>15.753507614135742</v>
      </c>
      <c r="AD4" s="71">
        <f t="shared" si="0"/>
        <v>19.691884517669678</v>
      </c>
    </row>
    <row r="5" spans="2:30" x14ac:dyDescent="0.25">
      <c r="B5" t="s">
        <v>17</v>
      </c>
      <c r="C5" s="64">
        <v>0.24007999999999999</v>
      </c>
      <c r="D5" s="72">
        <f>Q5-C5</f>
        <v>0.25205600000000006</v>
      </c>
      <c r="E5" s="64">
        <v>0.174067</v>
      </c>
      <c r="F5" s="72">
        <f>R5-E5</f>
        <v>-3.2727000000000006E-2</v>
      </c>
      <c r="G5" s="64">
        <v>2.1742710000000001</v>
      </c>
      <c r="H5" s="72">
        <f>S5-G5</f>
        <v>9.0767290000000003</v>
      </c>
      <c r="I5" s="67">
        <v>8.3209999999999997</v>
      </c>
      <c r="J5" s="70">
        <f>T5-I5</f>
        <v>9.2080000000000002</v>
      </c>
      <c r="K5" s="67">
        <v>1.863</v>
      </c>
      <c r="L5" s="70">
        <f>U5-K5</f>
        <v>7.0660000000000007</v>
      </c>
      <c r="M5" s="67">
        <v>1.167</v>
      </c>
      <c r="N5" s="129"/>
      <c r="O5" s="67"/>
      <c r="P5" s="64">
        <v>0.54072100000000001</v>
      </c>
      <c r="Q5" s="64">
        <v>0.49213600000000002</v>
      </c>
      <c r="R5" s="64">
        <v>0.14133999999999999</v>
      </c>
      <c r="S5" s="64">
        <v>11.250999999999999</v>
      </c>
      <c r="T5" s="68">
        <v>17.529</v>
      </c>
      <c r="U5" s="68">
        <v>8.9290000000000003</v>
      </c>
      <c r="V5" s="68">
        <f t="shared" ref="V5:AD5" si="1">V4-V7</f>
        <v>2.2795874999999999</v>
      </c>
      <c r="W5" s="68">
        <f t="shared" si="1"/>
        <v>2.8494843750000003</v>
      </c>
      <c r="X5" s="68">
        <f t="shared" si="1"/>
        <v>3.5618554687500001</v>
      </c>
      <c r="Y5" s="68">
        <f t="shared" si="1"/>
        <v>4.4523193359375002</v>
      </c>
      <c r="Z5" s="68">
        <f t="shared" si="1"/>
        <v>5.565399169921875</v>
      </c>
      <c r="AA5" s="68">
        <f t="shared" si="1"/>
        <v>6.9567489624023438</v>
      </c>
      <c r="AB5" s="68">
        <f t="shared" si="1"/>
        <v>8.6959362030029297</v>
      </c>
      <c r="AC5" s="68">
        <f t="shared" si="1"/>
        <v>10.869920253753662</v>
      </c>
      <c r="AD5" s="68">
        <f t="shared" si="1"/>
        <v>13.587400317192078</v>
      </c>
    </row>
    <row r="6" spans="2:30" x14ac:dyDescent="0.25">
      <c r="B6" t="s">
        <v>33</v>
      </c>
      <c r="C6" s="65">
        <v>0</v>
      </c>
      <c r="D6" s="72">
        <v>0</v>
      </c>
      <c r="E6" s="65">
        <v>0</v>
      </c>
      <c r="F6" s="72">
        <f>R6-E6</f>
        <v>0.54844199999999999</v>
      </c>
      <c r="G6" s="65">
        <v>0</v>
      </c>
      <c r="H6" s="72">
        <f>S6-G6</f>
        <v>0</v>
      </c>
      <c r="I6" s="67">
        <v>0</v>
      </c>
      <c r="J6" s="70">
        <f>T6-I6</f>
        <v>0</v>
      </c>
      <c r="K6" s="67">
        <v>0</v>
      </c>
      <c r="L6" s="70">
        <f>U6</f>
        <v>0</v>
      </c>
      <c r="M6" s="67">
        <v>0</v>
      </c>
      <c r="N6" s="129"/>
      <c r="O6" s="67"/>
      <c r="P6" s="65">
        <v>0</v>
      </c>
      <c r="Q6" s="65">
        <v>0</v>
      </c>
      <c r="R6" s="65">
        <v>0.54844199999999999</v>
      </c>
      <c r="S6" s="65">
        <v>0</v>
      </c>
      <c r="T6" s="67">
        <v>0</v>
      </c>
      <c r="U6" s="67">
        <v>0</v>
      </c>
      <c r="V6" s="67">
        <v>2</v>
      </c>
      <c r="W6" s="67">
        <v>3</v>
      </c>
      <c r="X6" s="67">
        <v>4</v>
      </c>
      <c r="Y6" s="67">
        <v>5</v>
      </c>
      <c r="Z6" s="67">
        <v>6</v>
      </c>
      <c r="AA6" s="67">
        <v>7</v>
      </c>
      <c r="AB6" s="67">
        <v>8</v>
      </c>
      <c r="AC6" s="67">
        <v>9</v>
      </c>
      <c r="AD6" s="67">
        <v>10</v>
      </c>
    </row>
    <row r="7" spans="2:30" x14ac:dyDescent="0.25">
      <c r="B7" s="12" t="s">
        <v>18</v>
      </c>
      <c r="C7" s="63">
        <f t="shared" ref="C7:M7" si="2">C4-C5-C6</f>
        <v>-0.22436299999999998</v>
      </c>
      <c r="D7" s="69">
        <f t="shared" si="2"/>
        <v>-0.23580300000000007</v>
      </c>
      <c r="E7" s="63">
        <f t="shared" si="2"/>
        <v>-0.16136</v>
      </c>
      <c r="F7" s="69">
        <f t="shared" si="2"/>
        <v>-0.47894199999999998</v>
      </c>
      <c r="G7" s="63">
        <f t="shared" si="2"/>
        <v>1.0998739999999998</v>
      </c>
      <c r="H7" s="69">
        <f t="shared" si="2"/>
        <v>4.0251260000000002</v>
      </c>
      <c r="I7" s="63">
        <f t="shared" si="2"/>
        <v>1.511000000000001</v>
      </c>
      <c r="J7" s="125">
        <f>T7-I7</f>
        <v>3.2739999999999991</v>
      </c>
      <c r="K7" s="63">
        <f t="shared" si="2"/>
        <v>0.60099999999999998</v>
      </c>
      <c r="L7" s="69">
        <f t="shared" si="2"/>
        <v>1.4469999999999992</v>
      </c>
      <c r="M7" s="63">
        <f t="shared" si="2"/>
        <v>-0.28600000000000003</v>
      </c>
      <c r="N7" s="129">
        <f>N4*N23</f>
        <v>0.67837000000000014</v>
      </c>
      <c r="O7" s="36"/>
      <c r="P7" s="63">
        <f>P4-P5-P6</f>
        <v>-0.535883</v>
      </c>
      <c r="Q7" s="63">
        <f>Q4-Q5-Q6</f>
        <v>-0.46016600000000002</v>
      </c>
      <c r="R7" s="63">
        <f>R4-R5-R6</f>
        <v>-0.64030199999999993</v>
      </c>
      <c r="S7" s="63">
        <f>S4-S5-S6</f>
        <v>5.1250000000000018</v>
      </c>
      <c r="T7" s="63">
        <f t="shared" ref="T7:U7" si="3">T4-T5-T6</f>
        <v>4.7850000000000001</v>
      </c>
      <c r="U7" s="122">
        <f t="shared" si="3"/>
        <v>2.048</v>
      </c>
      <c r="V7" s="71">
        <f t="shared" ref="V7:AD7" si="4">V4*0.31</f>
        <v>1.0241625000000001</v>
      </c>
      <c r="W7" s="71">
        <f t="shared" si="4"/>
        <v>1.2802031250000001</v>
      </c>
      <c r="X7" s="71">
        <f t="shared" si="4"/>
        <v>1.6002539062500001</v>
      </c>
      <c r="Y7" s="71">
        <f t="shared" si="4"/>
        <v>2.0003173828124998</v>
      </c>
      <c r="Z7" s="71">
        <f t="shared" si="4"/>
        <v>2.500396728515625</v>
      </c>
      <c r="AA7" s="71">
        <f t="shared" si="4"/>
        <v>3.1254959106445313</v>
      </c>
      <c r="AB7" s="71">
        <f t="shared" si="4"/>
        <v>3.9068698883056641</v>
      </c>
      <c r="AC7" s="71">
        <f t="shared" si="4"/>
        <v>4.8835873603820801</v>
      </c>
      <c r="AD7" s="71">
        <f t="shared" si="4"/>
        <v>6.1044842004776001</v>
      </c>
    </row>
    <row r="8" spans="2:30" x14ac:dyDescent="0.25">
      <c r="B8" t="s">
        <v>34</v>
      </c>
      <c r="C8" s="65">
        <v>0</v>
      </c>
      <c r="D8" s="72">
        <f>Q8-C8</f>
        <v>0</v>
      </c>
      <c r="E8" s="65">
        <v>0</v>
      </c>
      <c r="F8" s="72">
        <f>R8-E8</f>
        <v>0.62167300000000003</v>
      </c>
      <c r="G8" s="65">
        <v>0</v>
      </c>
      <c r="H8" s="72">
        <f>S8-G8</f>
        <v>0.41399999999999998</v>
      </c>
      <c r="I8" s="67">
        <v>0</v>
      </c>
      <c r="J8" s="70">
        <f t="shared" ref="J8:J14" si="5">T8-I8</f>
        <v>0</v>
      </c>
      <c r="K8" s="67">
        <v>0</v>
      </c>
      <c r="L8" s="70">
        <f t="shared" ref="L8:L14" si="6">U8-K8</f>
        <v>0</v>
      </c>
      <c r="M8" s="67">
        <v>0</v>
      </c>
      <c r="N8" s="129"/>
      <c r="O8" s="67"/>
      <c r="P8" s="65">
        <v>0</v>
      </c>
      <c r="Q8" s="65">
        <v>0</v>
      </c>
      <c r="R8" s="65">
        <v>0.62167300000000003</v>
      </c>
      <c r="S8" s="65">
        <v>0.41399999999999998</v>
      </c>
      <c r="T8" s="67">
        <v>0</v>
      </c>
      <c r="U8" s="67">
        <v>0</v>
      </c>
      <c r="V8" s="67">
        <v>0</v>
      </c>
      <c r="W8" s="67">
        <v>0</v>
      </c>
      <c r="X8" s="67">
        <v>0</v>
      </c>
      <c r="Y8" s="67">
        <v>0</v>
      </c>
      <c r="Z8" s="67">
        <v>0</v>
      </c>
      <c r="AA8" s="67">
        <v>0</v>
      </c>
      <c r="AB8" s="67">
        <v>0</v>
      </c>
      <c r="AC8" s="67">
        <v>0</v>
      </c>
      <c r="AD8" s="67">
        <v>0</v>
      </c>
    </row>
    <row r="9" spans="2:30" x14ac:dyDescent="0.25">
      <c r="B9" t="s">
        <v>35</v>
      </c>
      <c r="C9" s="65">
        <v>0</v>
      </c>
      <c r="D9" s="72">
        <f>Q9-C9</f>
        <v>0</v>
      </c>
      <c r="E9" s="65">
        <v>0</v>
      </c>
      <c r="F9" s="72">
        <f>R9-E9</f>
        <v>0.17971799999999999</v>
      </c>
      <c r="G9" s="65">
        <v>0</v>
      </c>
      <c r="H9" s="72">
        <f>S9-G9</f>
        <v>0</v>
      </c>
      <c r="I9" s="67">
        <v>0</v>
      </c>
      <c r="J9" s="70">
        <f t="shared" si="5"/>
        <v>0</v>
      </c>
      <c r="K9" s="67">
        <v>0</v>
      </c>
      <c r="L9" s="70">
        <f t="shared" si="6"/>
        <v>0</v>
      </c>
      <c r="M9" s="67">
        <v>0</v>
      </c>
      <c r="N9" s="129"/>
      <c r="O9" s="67"/>
      <c r="P9" s="65">
        <v>0</v>
      </c>
      <c r="Q9" s="65">
        <v>0</v>
      </c>
      <c r="R9" s="65">
        <v>0.17971799999999999</v>
      </c>
      <c r="S9" s="65">
        <v>0</v>
      </c>
      <c r="T9" s="67">
        <v>0</v>
      </c>
      <c r="U9" s="67">
        <v>0</v>
      </c>
      <c r="V9" s="67">
        <v>0</v>
      </c>
      <c r="W9" s="67">
        <v>0</v>
      </c>
      <c r="X9" s="67">
        <v>0</v>
      </c>
      <c r="Y9" s="67">
        <v>0</v>
      </c>
      <c r="Z9" s="67">
        <v>0</v>
      </c>
      <c r="AA9" s="67">
        <v>0</v>
      </c>
      <c r="AB9" s="67">
        <v>0</v>
      </c>
      <c r="AC9" s="67">
        <v>0</v>
      </c>
      <c r="AD9" s="67">
        <v>0</v>
      </c>
    </row>
    <row r="10" spans="2:30" x14ac:dyDescent="0.25">
      <c r="B10" t="s">
        <v>19</v>
      </c>
      <c r="C10" s="66">
        <v>0.96812500000000001</v>
      </c>
      <c r="D10" s="72">
        <f>Q10-C10</f>
        <v>0.97057000000000004</v>
      </c>
      <c r="E10" s="66">
        <v>1.0099990000000001</v>
      </c>
      <c r="F10" s="72">
        <f>R10-E10</f>
        <v>1.2030096000000001</v>
      </c>
      <c r="G10" s="66">
        <v>1.299544</v>
      </c>
      <c r="H10" s="72">
        <f>S10-G10</f>
        <v>1.2534559999999999</v>
      </c>
      <c r="I10" s="67">
        <v>1.395</v>
      </c>
      <c r="J10" s="70">
        <f t="shared" si="5"/>
        <v>0.69200000000000017</v>
      </c>
      <c r="K10" s="67">
        <v>0.75600000000000001</v>
      </c>
      <c r="L10" s="70">
        <f t="shared" si="6"/>
        <v>0.87999999999999989</v>
      </c>
      <c r="M10" s="67">
        <v>0.76</v>
      </c>
      <c r="N10" s="130"/>
      <c r="O10" s="67"/>
      <c r="P10" s="66">
        <v>2.213695</v>
      </c>
      <c r="Q10" s="66">
        <v>1.9386950000000001</v>
      </c>
      <c r="R10" s="66">
        <v>2.2130086000000002</v>
      </c>
      <c r="S10" s="66">
        <v>2.5529999999999999</v>
      </c>
      <c r="T10" s="67">
        <v>2.0870000000000002</v>
      </c>
      <c r="U10" s="67">
        <v>1.6359999999999999</v>
      </c>
      <c r="V10" s="67">
        <f t="shared" ref="V10:AD10" si="7">U10*1</f>
        <v>1.6359999999999999</v>
      </c>
      <c r="W10" s="67">
        <f t="shared" si="7"/>
        <v>1.6359999999999999</v>
      </c>
      <c r="X10" s="67">
        <f t="shared" si="7"/>
        <v>1.6359999999999999</v>
      </c>
      <c r="Y10" s="67">
        <f t="shared" si="7"/>
        <v>1.6359999999999999</v>
      </c>
      <c r="Z10" s="67">
        <f t="shared" si="7"/>
        <v>1.6359999999999999</v>
      </c>
      <c r="AA10" s="67">
        <f t="shared" si="7"/>
        <v>1.6359999999999999</v>
      </c>
      <c r="AB10" s="67">
        <f t="shared" si="7"/>
        <v>1.6359999999999999</v>
      </c>
      <c r="AC10" s="67">
        <f t="shared" si="7"/>
        <v>1.6359999999999999</v>
      </c>
      <c r="AD10" s="67">
        <f t="shared" si="7"/>
        <v>1.6359999999999999</v>
      </c>
    </row>
    <row r="11" spans="2:30" x14ac:dyDescent="0.25">
      <c r="B11" t="s">
        <v>20</v>
      </c>
      <c r="C11" s="66">
        <v>0</v>
      </c>
      <c r="D11" s="72">
        <f>Q11-C11</f>
        <v>0</v>
      </c>
      <c r="E11" s="66">
        <v>0.100989</v>
      </c>
      <c r="F11" s="72">
        <f>R11-E11</f>
        <v>-0.100989</v>
      </c>
      <c r="G11" s="66">
        <v>6.0677000000000002E-2</v>
      </c>
      <c r="H11" s="72">
        <f>S11-G11</f>
        <v>-6.0677000000000002E-2</v>
      </c>
      <c r="I11" s="67">
        <v>0</v>
      </c>
      <c r="J11" s="70">
        <f t="shared" si="5"/>
        <v>0.27600000000000002</v>
      </c>
      <c r="K11" s="67">
        <v>0</v>
      </c>
      <c r="L11" s="70">
        <f t="shared" si="6"/>
        <v>0.114</v>
      </c>
      <c r="M11" s="67">
        <v>0</v>
      </c>
      <c r="N11" s="129"/>
      <c r="O11" s="67"/>
      <c r="P11" s="65">
        <v>0</v>
      </c>
      <c r="Q11" s="65">
        <v>0</v>
      </c>
      <c r="R11" s="65">
        <v>0</v>
      </c>
      <c r="S11" s="65">
        <v>0</v>
      </c>
      <c r="T11" s="67">
        <f>0.226+0.05</f>
        <v>0.27600000000000002</v>
      </c>
      <c r="U11" s="67">
        <v>0.114</v>
      </c>
      <c r="V11" s="67">
        <v>2</v>
      </c>
      <c r="W11" s="67">
        <v>3</v>
      </c>
      <c r="X11" s="67">
        <v>4</v>
      </c>
      <c r="Y11" s="67">
        <v>5</v>
      </c>
      <c r="Z11" s="67">
        <v>6</v>
      </c>
      <c r="AA11" s="67">
        <v>7</v>
      </c>
      <c r="AB11" s="67">
        <v>8</v>
      </c>
      <c r="AC11" s="67">
        <v>9</v>
      </c>
      <c r="AD11" s="67">
        <v>10</v>
      </c>
    </row>
    <row r="12" spans="2:30" x14ac:dyDescent="0.25">
      <c r="B12" t="s">
        <v>21</v>
      </c>
      <c r="C12" s="66">
        <v>0.126301</v>
      </c>
      <c r="D12" s="72">
        <f>Q12-C12</f>
        <v>-5.6579999999999991E-2</v>
      </c>
      <c r="E12" s="66">
        <v>7.4552999999999994E-2</v>
      </c>
      <c r="F12" s="72">
        <f>R12-E12</f>
        <v>2.8737000000000013E-2</v>
      </c>
      <c r="G12" s="66">
        <v>6.5929999999999999E-3</v>
      </c>
      <c r="H12" s="72">
        <f>S12-G12</f>
        <v>0.105407</v>
      </c>
      <c r="I12" s="67">
        <v>0.104</v>
      </c>
      <c r="J12" s="70">
        <f t="shared" si="5"/>
        <v>-0.124</v>
      </c>
      <c r="K12" s="67">
        <v>1.9E-2</v>
      </c>
      <c r="L12" s="70">
        <f t="shared" si="6"/>
        <v>1.9E-2</v>
      </c>
      <c r="M12" s="67">
        <v>0.03</v>
      </c>
      <c r="N12" s="129"/>
      <c r="O12" s="67"/>
      <c r="P12" s="66">
        <v>9.2290999999999998E-2</v>
      </c>
      <c r="Q12" s="66">
        <v>6.9721000000000005E-2</v>
      </c>
      <c r="R12" s="66">
        <v>0.10329000000000001</v>
      </c>
      <c r="S12" s="66">
        <v>0.112</v>
      </c>
      <c r="T12" s="66">
        <v>-0.02</v>
      </c>
      <c r="U12" s="66">
        <v>3.7999999999999999E-2</v>
      </c>
      <c r="V12" s="66">
        <f t="shared" ref="V12:AD12" si="8">U12</f>
        <v>3.7999999999999999E-2</v>
      </c>
      <c r="W12" s="66">
        <f t="shared" si="8"/>
        <v>3.7999999999999999E-2</v>
      </c>
      <c r="X12" s="66">
        <f t="shared" si="8"/>
        <v>3.7999999999999999E-2</v>
      </c>
      <c r="Y12" s="66">
        <f t="shared" si="8"/>
        <v>3.7999999999999999E-2</v>
      </c>
      <c r="Z12" s="66">
        <f t="shared" si="8"/>
        <v>3.7999999999999999E-2</v>
      </c>
      <c r="AA12" s="66">
        <f t="shared" si="8"/>
        <v>3.7999999999999999E-2</v>
      </c>
      <c r="AB12" s="66">
        <f t="shared" si="8"/>
        <v>3.7999999999999999E-2</v>
      </c>
      <c r="AC12" s="66">
        <f t="shared" si="8"/>
        <v>3.7999999999999999E-2</v>
      </c>
      <c r="AD12" s="66">
        <f t="shared" si="8"/>
        <v>3.7999999999999999E-2</v>
      </c>
    </row>
    <row r="13" spans="2:30" x14ac:dyDescent="0.25">
      <c r="B13" t="s">
        <v>22</v>
      </c>
      <c r="C13" s="66">
        <f t="shared" ref="C13:H13" si="9">SUM(C8:C12)</f>
        <v>1.0944259999999999</v>
      </c>
      <c r="D13" s="72">
        <f t="shared" si="9"/>
        <v>0.91399000000000008</v>
      </c>
      <c r="E13" s="66">
        <f t="shared" si="9"/>
        <v>1.1855410000000002</v>
      </c>
      <c r="F13" s="72">
        <f t="shared" si="9"/>
        <v>1.9321486000000003</v>
      </c>
      <c r="G13" s="66">
        <f t="shared" si="9"/>
        <v>1.3668140000000002</v>
      </c>
      <c r="H13" s="72">
        <f t="shared" si="9"/>
        <v>1.7121859999999998</v>
      </c>
      <c r="I13" s="67">
        <v>1.4990000000000001</v>
      </c>
      <c r="J13" s="70">
        <f t="shared" si="5"/>
        <v>0.84400000000000031</v>
      </c>
      <c r="K13" s="67">
        <v>0.77500000000000002</v>
      </c>
      <c r="L13" s="70">
        <f t="shared" si="6"/>
        <v>1.0129999999999999</v>
      </c>
      <c r="M13" s="67">
        <v>0.79</v>
      </c>
      <c r="N13" s="129"/>
      <c r="O13" s="67"/>
      <c r="P13" s="66">
        <f t="shared" ref="P13:U13" si="10">SUM(P8:P12)</f>
        <v>2.3059859999999999</v>
      </c>
      <c r="Q13" s="66">
        <f t="shared" si="10"/>
        <v>2.008416</v>
      </c>
      <c r="R13" s="66">
        <f t="shared" si="10"/>
        <v>3.1176895999999998</v>
      </c>
      <c r="S13" s="66">
        <f t="shared" si="10"/>
        <v>3.0790000000000002</v>
      </c>
      <c r="T13" s="123">
        <f t="shared" si="10"/>
        <v>2.3430000000000004</v>
      </c>
      <c r="U13" s="66">
        <f t="shared" si="10"/>
        <v>1.788</v>
      </c>
      <c r="V13" s="67">
        <f t="shared" ref="V13:AD13" si="11">U13</f>
        <v>1.788</v>
      </c>
      <c r="W13" s="67">
        <f t="shared" si="11"/>
        <v>1.788</v>
      </c>
      <c r="X13" s="67">
        <f t="shared" si="11"/>
        <v>1.788</v>
      </c>
      <c r="Y13" s="67">
        <f t="shared" si="11"/>
        <v>1.788</v>
      </c>
      <c r="Z13" s="67">
        <f t="shared" si="11"/>
        <v>1.788</v>
      </c>
      <c r="AA13" s="67">
        <f t="shared" si="11"/>
        <v>1.788</v>
      </c>
      <c r="AB13" s="67">
        <f t="shared" si="11"/>
        <v>1.788</v>
      </c>
      <c r="AC13" s="67">
        <f t="shared" si="11"/>
        <v>1.788</v>
      </c>
      <c r="AD13" s="67">
        <f t="shared" si="11"/>
        <v>1.788</v>
      </c>
    </row>
    <row r="14" spans="2:30" x14ac:dyDescent="0.25">
      <c r="B14" t="s">
        <v>246</v>
      </c>
      <c r="C14" s="66">
        <v>0</v>
      </c>
      <c r="D14" s="72">
        <v>0</v>
      </c>
      <c r="E14" s="66">
        <v>0</v>
      </c>
      <c r="F14" s="72">
        <v>0</v>
      </c>
      <c r="G14" s="66">
        <v>0</v>
      </c>
      <c r="H14" s="72">
        <v>0</v>
      </c>
      <c r="I14" s="67">
        <v>0</v>
      </c>
      <c r="J14" s="70">
        <f t="shared" si="5"/>
        <v>0.93600000000000005</v>
      </c>
      <c r="K14" s="67">
        <v>0.23</v>
      </c>
      <c r="L14" s="70">
        <f t="shared" si="6"/>
        <v>0.39100000000000001</v>
      </c>
      <c r="M14" s="67">
        <v>0.27200000000000002</v>
      </c>
      <c r="N14" s="129"/>
      <c r="O14" s="67"/>
      <c r="P14" s="66">
        <v>0</v>
      </c>
      <c r="Q14" s="66">
        <v>0</v>
      </c>
      <c r="R14" s="66">
        <v>0</v>
      </c>
      <c r="S14" s="66">
        <v>0</v>
      </c>
      <c r="T14" s="67">
        <v>0.93600000000000005</v>
      </c>
      <c r="U14" s="67">
        <v>0.621</v>
      </c>
      <c r="V14" s="67">
        <f>V4*0.05</f>
        <v>0.16518750000000001</v>
      </c>
      <c r="W14" s="67">
        <f t="shared" ref="W14:AD14" si="12">W4*0.05</f>
        <v>0.20648437500000003</v>
      </c>
      <c r="X14" s="67">
        <f t="shared" si="12"/>
        <v>0.25810546875000001</v>
      </c>
      <c r="Y14" s="67">
        <f t="shared" si="12"/>
        <v>0.3226318359375</v>
      </c>
      <c r="Z14" s="67">
        <f t="shared" si="12"/>
        <v>0.403289794921875</v>
      </c>
      <c r="AA14" s="67">
        <f t="shared" si="12"/>
        <v>0.50411224365234375</v>
      </c>
      <c r="AB14" s="67">
        <f t="shared" si="12"/>
        <v>0.63014030456542969</v>
      </c>
      <c r="AC14" s="67">
        <f t="shared" si="12"/>
        <v>0.78767538070678711</v>
      </c>
      <c r="AD14" s="67">
        <f t="shared" si="12"/>
        <v>0.98459422588348389</v>
      </c>
    </row>
    <row r="15" spans="2:30" x14ac:dyDescent="0.25">
      <c r="B15" s="12" t="s">
        <v>55</v>
      </c>
      <c r="C15" s="63">
        <f t="shared" ref="C15:I15" si="13">C7-C13</f>
        <v>-1.3187889999999998</v>
      </c>
      <c r="D15" s="69">
        <f t="shared" si="13"/>
        <v>-1.1497930000000001</v>
      </c>
      <c r="E15" s="63">
        <f t="shared" si="13"/>
        <v>-1.3469010000000001</v>
      </c>
      <c r="F15" s="69">
        <f t="shared" si="13"/>
        <v>-2.4110906000000005</v>
      </c>
      <c r="G15" s="63">
        <f t="shared" si="13"/>
        <v>-0.2669400000000004</v>
      </c>
      <c r="H15" s="69">
        <f t="shared" si="13"/>
        <v>2.3129400000000002</v>
      </c>
      <c r="I15" s="63">
        <f t="shared" si="13"/>
        <v>1.2000000000000899E-2</v>
      </c>
      <c r="J15" s="69">
        <f>J7-J13-J14</f>
        <v>1.4939999999999989</v>
      </c>
      <c r="K15" s="63">
        <f>K7-K13-K14</f>
        <v>-0.40400000000000003</v>
      </c>
      <c r="L15" s="69">
        <f>L7-L13-L14</f>
        <v>4.2999999999999261E-2</v>
      </c>
      <c r="M15" s="63">
        <f>M7-M13-M14</f>
        <v>-1.3480000000000001</v>
      </c>
      <c r="N15" s="129"/>
      <c r="O15" s="67"/>
      <c r="P15" s="63">
        <f>P7-P13</f>
        <v>-2.841869</v>
      </c>
      <c r="Q15" s="63">
        <f>Q7-Q13</f>
        <v>-2.4685820000000001</v>
      </c>
      <c r="R15" s="63">
        <f>R7-R13</f>
        <v>-3.7579915999999995</v>
      </c>
      <c r="S15" s="63">
        <f>S7-S13</f>
        <v>2.0460000000000016</v>
      </c>
      <c r="T15" s="63">
        <f>T7-T13-T14</f>
        <v>1.5059999999999998</v>
      </c>
      <c r="U15" s="63">
        <f>U7-U13-U14</f>
        <v>-0.36099999999999999</v>
      </c>
      <c r="V15" s="63">
        <f t="shared" ref="V15:AD15" si="14">V7-V13-V14</f>
        <v>-0.92902499999999999</v>
      </c>
      <c r="W15" s="63">
        <f t="shared" si="14"/>
        <v>-0.71428124999999998</v>
      </c>
      <c r="X15" s="63">
        <f t="shared" si="14"/>
        <v>-0.44585156249999996</v>
      </c>
      <c r="Y15" s="63">
        <f t="shared" si="14"/>
        <v>-0.11031445312500021</v>
      </c>
      <c r="Z15" s="63">
        <f t="shared" si="14"/>
        <v>0.30910693359374997</v>
      </c>
      <c r="AA15" s="63">
        <f t="shared" si="14"/>
        <v>0.83338366699218747</v>
      </c>
      <c r="AB15" s="63">
        <f t="shared" si="14"/>
        <v>1.4887295837402341</v>
      </c>
      <c r="AC15" s="63">
        <f t="shared" si="14"/>
        <v>2.3079119796752927</v>
      </c>
      <c r="AD15" s="63">
        <f t="shared" si="14"/>
        <v>3.331889974594116</v>
      </c>
    </row>
    <row r="16" spans="2:30" x14ac:dyDescent="0.25">
      <c r="B16" t="s">
        <v>23</v>
      </c>
      <c r="C16" s="66">
        <v>1.1476E-2</v>
      </c>
      <c r="D16" s="72">
        <f>Q16-C16</f>
        <v>1.4870999999999999E-2</v>
      </c>
      <c r="E16" s="66">
        <v>1.9810000000000001E-3</v>
      </c>
      <c r="F16" s="72">
        <f>R16-E16</f>
        <v>2.5770000000000003E-3</v>
      </c>
      <c r="G16" s="66">
        <v>1.7819999999999999E-3</v>
      </c>
      <c r="H16" s="72">
        <f>S16-G16</f>
        <v>4.0218000000000004E-2</v>
      </c>
      <c r="I16" s="67">
        <v>3.0000000000000001E-3</v>
      </c>
      <c r="J16" s="70">
        <f>T16-I16</f>
        <v>-1.4000000000000009E-2</v>
      </c>
      <c r="K16" s="67">
        <f>0.001-0.05</f>
        <v>-4.9000000000000002E-2</v>
      </c>
      <c r="L16" s="70">
        <f>U16-K16</f>
        <v>-0.11700000000000001</v>
      </c>
      <c r="M16" s="67">
        <f>0.001-0.15</f>
        <v>-0.14899999999999999</v>
      </c>
      <c r="N16" s="129"/>
      <c r="O16" s="67"/>
      <c r="P16" s="66">
        <v>2.3914999999999999E-2</v>
      </c>
      <c r="Q16" s="66">
        <v>2.6346999999999999E-2</v>
      </c>
      <c r="R16" s="66">
        <v>4.5580000000000004E-3</v>
      </c>
      <c r="S16" s="66">
        <f>0.002+0.04</f>
        <v>4.2000000000000003E-2</v>
      </c>
      <c r="T16" s="67">
        <f>-0.003+0.005-1+0.987</f>
        <v>-1.100000000000001E-2</v>
      </c>
      <c r="U16" s="67">
        <f>-0.168+0.002</f>
        <v>-0.16600000000000001</v>
      </c>
      <c r="V16" s="67">
        <f t="shared" ref="V16:AD16" si="15">U16*1.08</f>
        <v>-0.17928000000000002</v>
      </c>
      <c r="W16" s="67">
        <f t="shared" si="15"/>
        <v>-0.19362240000000003</v>
      </c>
      <c r="X16" s="67">
        <f t="shared" si="15"/>
        <v>-0.20911219200000003</v>
      </c>
      <c r="Y16" s="67">
        <f t="shared" si="15"/>
        <v>-0.22584116736000004</v>
      </c>
      <c r="Z16" s="67">
        <f t="shared" si="15"/>
        <v>-0.24390846074880007</v>
      </c>
      <c r="AA16" s="67">
        <f t="shared" si="15"/>
        <v>-0.26342113760870411</v>
      </c>
      <c r="AB16" s="67">
        <f t="shared" si="15"/>
        <v>-0.28449482861740044</v>
      </c>
      <c r="AC16" s="67">
        <f t="shared" si="15"/>
        <v>-0.30725441490679251</v>
      </c>
      <c r="AD16" s="67">
        <f t="shared" si="15"/>
        <v>-0.33183476809933593</v>
      </c>
    </row>
    <row r="17" spans="2:63" x14ac:dyDescent="0.25">
      <c r="B17" s="12" t="s">
        <v>26</v>
      </c>
      <c r="C17" s="63">
        <f t="shared" ref="C17:M17" si="16">C15-C16</f>
        <v>-1.3302649999999998</v>
      </c>
      <c r="D17" s="69">
        <f t="shared" si="16"/>
        <v>-1.1646640000000001</v>
      </c>
      <c r="E17" s="63">
        <f t="shared" si="16"/>
        <v>-1.3488820000000001</v>
      </c>
      <c r="F17" s="69">
        <f t="shared" si="16"/>
        <v>-2.4136676000000006</v>
      </c>
      <c r="G17" s="63">
        <f t="shared" si="16"/>
        <v>-0.2687220000000004</v>
      </c>
      <c r="H17" s="69">
        <f t="shared" si="16"/>
        <v>2.2727220000000004</v>
      </c>
      <c r="I17" s="63">
        <f t="shared" si="16"/>
        <v>9.0000000000008996E-3</v>
      </c>
      <c r="J17" s="69">
        <f t="shared" si="16"/>
        <v>1.5079999999999989</v>
      </c>
      <c r="K17" s="63">
        <f t="shared" si="16"/>
        <v>-0.35500000000000004</v>
      </c>
      <c r="L17" s="69">
        <f t="shared" si="16"/>
        <v>0.15999999999999925</v>
      </c>
      <c r="M17" s="63">
        <f t="shared" si="16"/>
        <v>-1.1990000000000001</v>
      </c>
      <c r="N17" s="129"/>
      <c r="O17" s="67"/>
      <c r="P17" s="63">
        <f>P15-P16</f>
        <v>-2.8657840000000001</v>
      </c>
      <c r="Q17" s="63">
        <f>Q15-Q16</f>
        <v>-2.494929</v>
      </c>
      <c r="R17" s="63">
        <f>R15-R16</f>
        <v>-3.7625495999999994</v>
      </c>
      <c r="S17" s="63">
        <f>S15-S16</f>
        <v>2.0040000000000018</v>
      </c>
      <c r="T17" s="63">
        <f t="shared" ref="T17:U17" si="17">T15-T16</f>
        <v>1.5169999999999999</v>
      </c>
      <c r="U17" s="63">
        <f t="shared" si="17"/>
        <v>-0.19499999999999998</v>
      </c>
      <c r="V17" s="63">
        <f t="shared" ref="V17:AD17" si="18">V15-V16</f>
        <v>-0.74974499999999999</v>
      </c>
      <c r="W17" s="63">
        <f t="shared" si="18"/>
        <v>-0.52065885000000001</v>
      </c>
      <c r="X17" s="63">
        <f t="shared" si="18"/>
        <v>-0.23673937049999993</v>
      </c>
      <c r="Y17" s="63">
        <f t="shared" si="18"/>
        <v>0.11552671423499983</v>
      </c>
      <c r="Z17" s="63">
        <f t="shared" si="18"/>
        <v>0.55301539434254998</v>
      </c>
      <c r="AA17" s="63">
        <f t="shared" si="18"/>
        <v>1.0968048046008916</v>
      </c>
      <c r="AB17" s="63">
        <f t="shared" si="18"/>
        <v>1.7732244123576346</v>
      </c>
      <c r="AC17" s="63">
        <f t="shared" si="18"/>
        <v>2.6151663945820851</v>
      </c>
      <c r="AD17" s="63">
        <f t="shared" si="18"/>
        <v>3.6637247426934518</v>
      </c>
    </row>
    <row r="18" spans="2:63" x14ac:dyDescent="0.25">
      <c r="B18" t="s">
        <v>24</v>
      </c>
      <c r="C18" s="66">
        <v>6.9477999999999998E-2</v>
      </c>
      <c r="D18" s="72">
        <f>Q18-C18</f>
        <v>0.27539800000000003</v>
      </c>
      <c r="E18" s="66">
        <v>0</v>
      </c>
      <c r="F18" s="72">
        <f>R18-E18</f>
        <v>0</v>
      </c>
      <c r="G18" s="66">
        <v>0</v>
      </c>
      <c r="H18" s="72">
        <f>S18-G18</f>
        <v>0</v>
      </c>
      <c r="I18" s="66">
        <v>0</v>
      </c>
      <c r="J18" s="72">
        <f>T18-I18</f>
        <v>0</v>
      </c>
      <c r="K18" s="66">
        <v>3.5999999999999997E-2</v>
      </c>
      <c r="L18" s="72">
        <f>U18-K18</f>
        <v>0</v>
      </c>
      <c r="M18" s="66">
        <v>0</v>
      </c>
      <c r="N18" s="131"/>
      <c r="O18" s="66"/>
      <c r="P18" s="66">
        <v>5.2276999999999997E-2</v>
      </c>
      <c r="Q18" s="66">
        <v>0.34487600000000002</v>
      </c>
      <c r="R18" s="66">
        <v>0</v>
      </c>
      <c r="S18" s="66">
        <v>0</v>
      </c>
      <c r="T18" s="66">
        <v>0</v>
      </c>
      <c r="U18" s="66">
        <v>3.5999999999999997E-2</v>
      </c>
      <c r="V18" s="66">
        <v>1</v>
      </c>
      <c r="W18" s="66">
        <v>2</v>
      </c>
      <c r="X18" s="66">
        <v>3</v>
      </c>
      <c r="Y18" s="66">
        <v>4</v>
      </c>
      <c r="Z18" s="66">
        <v>5</v>
      </c>
      <c r="AA18" s="66">
        <v>6</v>
      </c>
      <c r="AB18" s="66">
        <v>7</v>
      </c>
      <c r="AC18" s="66">
        <v>8</v>
      </c>
      <c r="AD18" s="66">
        <v>9</v>
      </c>
    </row>
    <row r="19" spans="2:63" x14ac:dyDescent="0.25">
      <c r="B19" s="12" t="s">
        <v>25</v>
      </c>
      <c r="C19" s="63">
        <f t="shared" ref="C19:M19" si="19">C17+C18</f>
        <v>-1.2607869999999999</v>
      </c>
      <c r="D19" s="69">
        <f t="shared" si="19"/>
        <v>-0.88926600000000011</v>
      </c>
      <c r="E19" s="63">
        <f t="shared" si="19"/>
        <v>-1.3488820000000001</v>
      </c>
      <c r="F19" s="69">
        <f t="shared" si="19"/>
        <v>-2.4136676000000006</v>
      </c>
      <c r="G19" s="63">
        <f t="shared" si="19"/>
        <v>-0.2687220000000004</v>
      </c>
      <c r="H19" s="69">
        <f t="shared" si="19"/>
        <v>2.2727220000000004</v>
      </c>
      <c r="I19" s="63">
        <f t="shared" si="19"/>
        <v>9.0000000000008996E-3</v>
      </c>
      <c r="J19" s="69">
        <f t="shared" si="19"/>
        <v>1.5079999999999989</v>
      </c>
      <c r="K19" s="63">
        <f t="shared" si="19"/>
        <v>-0.31900000000000006</v>
      </c>
      <c r="L19" s="69">
        <f t="shared" si="19"/>
        <v>0.15999999999999925</v>
      </c>
      <c r="M19" s="63">
        <f t="shared" si="19"/>
        <v>-1.1990000000000001</v>
      </c>
      <c r="N19" s="129"/>
      <c r="O19" s="67"/>
      <c r="P19" s="63">
        <f>P17+P18</f>
        <v>-2.813507</v>
      </c>
      <c r="Q19" s="63">
        <f>Q17+Q18</f>
        <v>-2.1500529999999998</v>
      </c>
      <c r="R19" s="63">
        <f>R17+R18</f>
        <v>-3.7625495999999994</v>
      </c>
      <c r="S19" s="63">
        <f>S17+S18</f>
        <v>2.0040000000000018</v>
      </c>
      <c r="T19" s="63">
        <f t="shared" ref="T19:U19" si="20">T17+T18</f>
        <v>1.5169999999999999</v>
      </c>
      <c r="U19" s="63">
        <f t="shared" si="20"/>
        <v>-0.15899999999999997</v>
      </c>
      <c r="V19" s="63">
        <f t="shared" ref="V19:AD19" si="21">V17+V18</f>
        <v>0.25025500000000001</v>
      </c>
      <c r="W19" s="63">
        <f t="shared" si="21"/>
        <v>1.47934115</v>
      </c>
      <c r="X19" s="63">
        <f t="shared" si="21"/>
        <v>2.7632606295</v>
      </c>
      <c r="Y19" s="63">
        <f t="shared" si="21"/>
        <v>4.115526714235</v>
      </c>
      <c r="Z19" s="63">
        <f t="shared" si="21"/>
        <v>5.55301539434255</v>
      </c>
      <c r="AA19" s="63">
        <f t="shared" si="21"/>
        <v>7.0968048046008914</v>
      </c>
      <c r="AB19" s="63">
        <f t="shared" si="21"/>
        <v>8.7732244123576351</v>
      </c>
      <c r="AC19" s="63">
        <f t="shared" si="21"/>
        <v>10.615166394582085</v>
      </c>
      <c r="AD19" s="63">
        <f t="shared" si="21"/>
        <v>12.663724742693452</v>
      </c>
      <c r="AE19" s="53">
        <f t="shared" ref="AE19:BK19" si="22">AD19*(1+$AG$23)</f>
        <v>12.47376887155305</v>
      </c>
      <c r="AF19" s="53">
        <f t="shared" si="22"/>
        <v>12.286662338479754</v>
      </c>
      <c r="AG19" s="53">
        <f t="shared" si="22"/>
        <v>12.102362403402557</v>
      </c>
      <c r="AH19" s="53">
        <f t="shared" si="22"/>
        <v>11.920826967351518</v>
      </c>
      <c r="AI19" s="53">
        <f t="shared" si="22"/>
        <v>11.742014562841245</v>
      </c>
      <c r="AJ19" s="53">
        <f t="shared" si="22"/>
        <v>11.565884344398626</v>
      </c>
      <c r="AK19" s="53">
        <f t="shared" si="22"/>
        <v>11.392396079232647</v>
      </c>
      <c r="AL19" s="53">
        <f t="shared" si="22"/>
        <v>11.221510138044158</v>
      </c>
      <c r="AM19" s="53">
        <f t="shared" si="22"/>
        <v>11.053187485973496</v>
      </c>
      <c r="AN19" s="53">
        <f t="shared" si="22"/>
        <v>10.887389673683893</v>
      </c>
      <c r="AO19" s="53">
        <f t="shared" si="22"/>
        <v>10.724078828578635</v>
      </c>
      <c r="AP19" s="53">
        <f t="shared" si="22"/>
        <v>10.563217646149957</v>
      </c>
      <c r="AQ19" s="53">
        <f t="shared" si="22"/>
        <v>10.404769381457706</v>
      </c>
      <c r="AR19" s="53">
        <f t="shared" si="22"/>
        <v>10.24869784073584</v>
      </c>
      <c r="AS19" s="53">
        <f t="shared" si="22"/>
        <v>10.094967373124803</v>
      </c>
      <c r="AT19" s="53">
        <f t="shared" si="22"/>
        <v>9.9435428625279307</v>
      </c>
      <c r="AU19" s="53">
        <f t="shared" si="22"/>
        <v>9.7943897195900114</v>
      </c>
      <c r="AV19" s="53">
        <f t="shared" si="22"/>
        <v>9.6474738737961605</v>
      </c>
      <c r="AW19" s="53">
        <f t="shared" si="22"/>
        <v>9.5027617656892183</v>
      </c>
      <c r="AX19" s="53">
        <f t="shared" si="22"/>
        <v>9.3602203392038792</v>
      </c>
      <c r="AY19" s="53">
        <f t="shared" si="22"/>
        <v>9.2198170341158203</v>
      </c>
      <c r="AZ19" s="53">
        <f t="shared" si="22"/>
        <v>9.0815197786040827</v>
      </c>
      <c r="BA19" s="53">
        <f t="shared" si="22"/>
        <v>8.9452969819250221</v>
      </c>
      <c r="BB19" s="53">
        <f t="shared" si="22"/>
        <v>8.8111175271961475</v>
      </c>
      <c r="BC19" s="53">
        <f t="shared" si="22"/>
        <v>8.6789507642882047</v>
      </c>
      <c r="BD19" s="53">
        <f t="shared" si="22"/>
        <v>8.5487665028238808</v>
      </c>
      <c r="BE19" s="53">
        <f t="shared" si="22"/>
        <v>8.420535005281522</v>
      </c>
      <c r="BF19" s="53">
        <f t="shared" si="22"/>
        <v>8.2942269802022999</v>
      </c>
      <c r="BG19" s="53">
        <f t="shared" si="22"/>
        <v>8.1698135754992656</v>
      </c>
      <c r="BH19" s="53">
        <f t="shared" si="22"/>
        <v>8.0472663718667761</v>
      </c>
      <c r="BI19" s="53">
        <f t="shared" si="22"/>
        <v>7.9265573762887742</v>
      </c>
      <c r="BJ19" s="53">
        <f t="shared" si="22"/>
        <v>7.8076590156444423</v>
      </c>
      <c r="BK19" s="53">
        <f t="shared" si="22"/>
        <v>7.6905441304097755</v>
      </c>
    </row>
    <row r="20" spans="2:63" x14ac:dyDescent="0.25">
      <c r="B20" t="s">
        <v>32</v>
      </c>
      <c r="C20" s="66">
        <f t="shared" ref="C20:I20" si="23">(C19/C21)</f>
        <v>-5.8309467350935564E-3</v>
      </c>
      <c r="D20" s="72">
        <f t="shared" si="23"/>
        <v>-3.6932717437238396E-3</v>
      </c>
      <c r="E20" s="66">
        <f t="shared" si="23"/>
        <v>-3.9258307454951135E-3</v>
      </c>
      <c r="F20" s="72">
        <f t="shared" si="23"/>
        <v>-4.6611916836287381E-3</v>
      </c>
      <c r="G20" s="66">
        <f t="shared" si="23"/>
        <v>-4.0439192608093311E-4</v>
      </c>
      <c r="H20" s="72">
        <f t="shared" si="23"/>
        <v>3.1971802850663715E-3</v>
      </c>
      <c r="I20" s="66">
        <f t="shared" si="23"/>
        <v>1.1621600681801736E-5</v>
      </c>
      <c r="J20" s="70">
        <f>J19/J21</f>
        <v>2.9213369959821909E-2</v>
      </c>
      <c r="K20" s="66">
        <f t="shared" ref="K20:M20" si="24">(K19/K21)</f>
        <v>-6.1339156463920321E-3</v>
      </c>
      <c r="L20" s="70">
        <f>L19/L21</f>
        <v>3.0765721110430104E-3</v>
      </c>
      <c r="M20" s="66">
        <f t="shared" si="24"/>
        <v>-2.3055062257128667E-2</v>
      </c>
      <c r="N20" s="129"/>
      <c r="O20" s="67"/>
      <c r="P20" s="66">
        <f>(P19/P21)</f>
        <v>-1.7770826388743045E-2</v>
      </c>
      <c r="Q20" s="66">
        <f>(Q19/Q21)</f>
        <v>-8.9295328871323888E-3</v>
      </c>
      <c r="R20" s="66">
        <f>(R19/R21)</f>
        <v>-7.2661061136838519E-3</v>
      </c>
      <c r="S20" s="66">
        <f>(S19/S21)</f>
        <v>2.8191522285932963E-3</v>
      </c>
      <c r="T20" s="66">
        <f t="shared" ref="T20:AD20" si="25">(T19/T21)</f>
        <v>2.9387720311041025E-2</v>
      </c>
      <c r="U20" s="66">
        <f t="shared" si="25"/>
        <v>-3.0573435353490053E-3</v>
      </c>
      <c r="V20" s="66">
        <f t="shared" si="25"/>
        <v>4.8120472103067007E-3</v>
      </c>
      <c r="W20" s="66">
        <f t="shared" si="25"/>
        <v>2.8445623280051974E-2</v>
      </c>
      <c r="X20" s="66">
        <f t="shared" si="25"/>
        <v>5.3133566176643075E-2</v>
      </c>
      <c r="Y20" s="66">
        <f t="shared" si="25"/>
        <v>7.9135716945424608E-2</v>
      </c>
      <c r="Z20" s="66">
        <f t="shared" si="25"/>
        <v>0.10677657684016796</v>
      </c>
      <c r="AA20" s="66">
        <f t="shared" si="25"/>
        <v>0.13646144837094529</v>
      </c>
      <c r="AB20" s="66">
        <f t="shared" si="25"/>
        <v>0.16869660969363331</v>
      </c>
      <c r="AC20" s="66">
        <f t="shared" si="25"/>
        <v>0.20411453052282735</v>
      </c>
      <c r="AD20" s="66">
        <f t="shared" si="25"/>
        <v>0.24350538978310113</v>
      </c>
    </row>
    <row r="21" spans="2:63" x14ac:dyDescent="0.25">
      <c r="B21" t="s">
        <v>2</v>
      </c>
      <c r="C21" s="66">
        <v>216.223378</v>
      </c>
      <c r="D21" s="72">
        <f>Q21</f>
        <v>240.78000800000001</v>
      </c>
      <c r="E21" s="66">
        <v>343.59148099999999</v>
      </c>
      <c r="F21" s="72">
        <f>R21</f>
        <v>517.822</v>
      </c>
      <c r="G21" s="66">
        <v>664.50881600000002</v>
      </c>
      <c r="H21" s="70">
        <f>S21</f>
        <v>710.85199999999998</v>
      </c>
      <c r="I21" s="67">
        <v>774.42</v>
      </c>
      <c r="J21" s="70">
        <f>T21</f>
        <v>51.620199999999997</v>
      </c>
      <c r="K21" s="67">
        <v>52.005932000000001</v>
      </c>
      <c r="L21" s="70">
        <f>U21</f>
        <v>52.005932000000001</v>
      </c>
      <c r="M21" s="67">
        <v>52.005932000000001</v>
      </c>
      <c r="N21" s="129"/>
      <c r="O21" s="67"/>
      <c r="P21" s="66">
        <v>158.321675</v>
      </c>
      <c r="Q21" s="66">
        <v>240.78000800000001</v>
      </c>
      <c r="R21" s="66">
        <v>517.822</v>
      </c>
      <c r="S21" s="66">
        <v>710.85199999999998</v>
      </c>
      <c r="T21" s="66">
        <v>51.620199999999997</v>
      </c>
      <c r="U21" s="66">
        <v>52.005932000000001</v>
      </c>
      <c r="V21" s="66">
        <f t="shared" ref="V21:AD21" si="26">U21</f>
        <v>52.005932000000001</v>
      </c>
      <c r="W21" s="66">
        <f t="shared" si="26"/>
        <v>52.005932000000001</v>
      </c>
      <c r="X21" s="66">
        <f t="shared" si="26"/>
        <v>52.005932000000001</v>
      </c>
      <c r="Y21" s="66">
        <f t="shared" si="26"/>
        <v>52.005932000000001</v>
      </c>
      <c r="Z21" s="66">
        <f t="shared" si="26"/>
        <v>52.005932000000001</v>
      </c>
      <c r="AA21" s="66">
        <f t="shared" si="26"/>
        <v>52.005932000000001</v>
      </c>
      <c r="AB21" s="66">
        <f t="shared" si="26"/>
        <v>52.005932000000001</v>
      </c>
      <c r="AC21" s="66">
        <f t="shared" si="26"/>
        <v>52.005932000000001</v>
      </c>
      <c r="AD21" s="66">
        <f t="shared" si="26"/>
        <v>52.005932000000001</v>
      </c>
    </row>
    <row r="23" spans="2:63" x14ac:dyDescent="0.25">
      <c r="B23" t="s">
        <v>28</v>
      </c>
      <c r="C23" s="16">
        <f t="shared" ref="C23:H23" si="27">C7/C4</f>
        <v>-14.275179741680983</v>
      </c>
      <c r="D23" s="33">
        <f t="shared" si="27"/>
        <v>-14.508275395311639</v>
      </c>
      <c r="E23" s="16">
        <f t="shared" si="27"/>
        <v>-12.698512630833399</v>
      </c>
      <c r="F23" s="33">
        <f t="shared" si="27"/>
        <v>-13.024284121502188</v>
      </c>
      <c r="G23" s="16">
        <f t="shared" si="27"/>
        <v>0.33592708936226096</v>
      </c>
      <c r="H23" s="33">
        <f t="shared" si="27"/>
        <v>0.30721802370732998</v>
      </c>
      <c r="I23" s="36">
        <v>0.31</v>
      </c>
      <c r="J23" s="33">
        <f t="shared" ref="J23" si="28">J7/J4</f>
        <v>0.26229770870052871</v>
      </c>
      <c r="K23" s="36">
        <v>0.31</v>
      </c>
      <c r="L23" s="33">
        <f t="shared" ref="L23" si="29">L7/L4</f>
        <v>0.1699753318454128</v>
      </c>
      <c r="M23" s="36">
        <v>0.31</v>
      </c>
      <c r="N23" s="134">
        <v>0.28000000000000003</v>
      </c>
      <c r="P23" s="16">
        <f>P7/P4</f>
        <v>-110.76539892517569</v>
      </c>
      <c r="Q23" s="16">
        <f>Q7/Q4</f>
        <v>-14.393681576477949</v>
      </c>
      <c r="R23" s="16">
        <f>R7/R4</f>
        <v>-12.940622473726757</v>
      </c>
      <c r="S23" s="16">
        <f>S7/S4</f>
        <v>0.31295798729848567</v>
      </c>
      <c r="T23" s="16">
        <f t="shared" ref="T23:U23" si="30">T7/T4</f>
        <v>0.21443936542081204</v>
      </c>
      <c r="U23" s="16">
        <f t="shared" si="30"/>
        <v>0.18657192311196139</v>
      </c>
      <c r="V23" s="16">
        <f t="shared" ref="V23:AD23" si="31">V7/V4</f>
        <v>0.31000000000000005</v>
      </c>
      <c r="W23" s="16">
        <f t="shared" si="31"/>
        <v>0.31</v>
      </c>
      <c r="X23" s="16">
        <f t="shared" si="31"/>
        <v>0.31</v>
      </c>
      <c r="Y23" s="16">
        <f t="shared" si="31"/>
        <v>0.31</v>
      </c>
      <c r="Z23" s="16">
        <f t="shared" si="31"/>
        <v>0.31</v>
      </c>
      <c r="AA23" s="16">
        <f t="shared" si="31"/>
        <v>0.31</v>
      </c>
      <c r="AB23" s="16">
        <f t="shared" si="31"/>
        <v>0.31</v>
      </c>
      <c r="AC23" s="16">
        <f t="shared" si="31"/>
        <v>0.31</v>
      </c>
      <c r="AD23" s="16">
        <f t="shared" si="31"/>
        <v>0.31</v>
      </c>
      <c r="AF23" s="41" t="s">
        <v>120</v>
      </c>
      <c r="AG23" s="46">
        <v>-1.4999999999999999E-2</v>
      </c>
    </row>
    <row r="24" spans="2:63" x14ac:dyDescent="0.25">
      <c r="B24" t="s">
        <v>29</v>
      </c>
      <c r="C24" s="16">
        <f t="shared" ref="C24:H24" si="32">C15/C4</f>
        <v>-83.908443087103137</v>
      </c>
      <c r="D24" s="33">
        <f t="shared" si="32"/>
        <v>-70.743431981787978</v>
      </c>
      <c r="E24" s="16">
        <f t="shared" si="32"/>
        <v>-105.99677343196664</v>
      </c>
      <c r="F24" s="33">
        <f t="shared" si="32"/>
        <v>-65.566872433578993</v>
      </c>
      <c r="G24" s="16">
        <f t="shared" si="32"/>
        <v>-8.1529681794789297E-2</v>
      </c>
      <c r="H24" s="33">
        <f t="shared" si="32"/>
        <v>0.1765353074049438</v>
      </c>
      <c r="I24" s="16">
        <f t="shared" ref="I24:J24" si="33">I15/I4</f>
        <v>1.220504475183167E-3</v>
      </c>
      <c r="J24" s="33">
        <f t="shared" si="33"/>
        <v>0.11969235699407138</v>
      </c>
      <c r="K24" s="16">
        <f t="shared" ref="K24:M24" si="34">K15/K4</f>
        <v>-0.16396103896103897</v>
      </c>
      <c r="L24" s="33">
        <f t="shared" si="34"/>
        <v>5.0510983202160529E-3</v>
      </c>
      <c r="M24" s="16">
        <f t="shared" si="34"/>
        <v>-1.5300794551645858</v>
      </c>
      <c r="P24" s="16">
        <f>P15/P4</f>
        <v>-587.40574617610582</v>
      </c>
      <c r="Q24" s="16">
        <f>Q15/Q4</f>
        <v>-77.215577103534571</v>
      </c>
      <c r="R24" s="16">
        <f>R15/R4</f>
        <v>-75.949708973322544</v>
      </c>
      <c r="S24" s="16">
        <f>S15/S4</f>
        <v>0.12493893502686867</v>
      </c>
      <c r="T24" s="16">
        <f t="shared" ref="T24:U24" si="35">T15/T4</f>
        <v>6.7491261091691304E-2</v>
      </c>
      <c r="U24" s="16">
        <f t="shared" si="35"/>
        <v>-3.2886945431356472E-2</v>
      </c>
      <c r="V24" s="16">
        <f t="shared" ref="V24:AD24" si="36">V15/V4</f>
        <v>-0.28120317820658342</v>
      </c>
      <c r="W24" s="16">
        <f t="shared" si="36"/>
        <v>-0.17296254256526672</v>
      </c>
      <c r="X24" s="16">
        <f t="shared" si="36"/>
        <v>-8.6370034052213385E-2</v>
      </c>
      <c r="Y24" s="16">
        <f t="shared" si="36"/>
        <v>-1.7096027241770749E-2</v>
      </c>
      <c r="Z24" s="16">
        <f t="shared" si="36"/>
        <v>3.8323178206583423E-2</v>
      </c>
      <c r="AA24" s="16">
        <f t="shared" si="36"/>
        <v>8.2658542565266738E-2</v>
      </c>
      <c r="AB24" s="16">
        <f t="shared" si="36"/>
        <v>0.11812683405221337</v>
      </c>
      <c r="AC24" s="16">
        <f t="shared" si="36"/>
        <v>0.14650146724177071</v>
      </c>
      <c r="AD24" s="16">
        <f t="shared" si="36"/>
        <v>0.16920117379341656</v>
      </c>
      <c r="AF24" s="42" t="s">
        <v>121</v>
      </c>
      <c r="AG24" s="47">
        <v>0.15</v>
      </c>
    </row>
    <row r="25" spans="2:63" x14ac:dyDescent="0.25">
      <c r="B25" t="s">
        <v>30</v>
      </c>
      <c r="C25" s="16">
        <f t="shared" ref="C25:H25" si="37">C19/C4</f>
        <v>-80.218044156009412</v>
      </c>
      <c r="D25" s="33">
        <f t="shared" si="37"/>
        <v>-54.713960499600077</v>
      </c>
      <c r="E25" s="16">
        <f t="shared" si="37"/>
        <v>-106.15267175572521</v>
      </c>
      <c r="F25" s="33">
        <f t="shared" si="37"/>
        <v>-65.636951023849036</v>
      </c>
      <c r="G25" s="16">
        <f t="shared" si="37"/>
        <v>-8.2073946022549527E-2</v>
      </c>
      <c r="H25" s="33">
        <f t="shared" si="37"/>
        <v>0.17346566573969871</v>
      </c>
      <c r="I25" s="16">
        <f t="shared" ref="I25:J25" si="38">I19/I4</f>
        <v>9.1537835638739822E-4</v>
      </c>
      <c r="J25" s="33">
        <f t="shared" si="38"/>
        <v>0.12081397211985251</v>
      </c>
      <c r="K25" s="16">
        <f t="shared" ref="K25:M25" si="39">K19/K4</f>
        <v>-0.12946428571428575</v>
      </c>
      <c r="L25" s="33">
        <f t="shared" si="39"/>
        <v>1.8794784447315784E-2</v>
      </c>
      <c r="M25" s="16">
        <f t="shared" si="39"/>
        <v>-1.3609534619750285</v>
      </c>
      <c r="P25" s="16">
        <f>P19/P4</f>
        <v>-581.54340636626705</v>
      </c>
      <c r="Q25" s="16">
        <f>Q19/Q4</f>
        <v>-67.252205192367839</v>
      </c>
      <c r="R25" s="16">
        <f>R19/R4</f>
        <v>-76.041827000808397</v>
      </c>
      <c r="S25" s="16">
        <f>S19/S4</f>
        <v>0.12237420615534939</v>
      </c>
      <c r="T25" s="16">
        <f t="shared" ref="T25:U25" si="40">T19/T4</f>
        <v>6.7984225150129959E-2</v>
      </c>
      <c r="U25" s="16">
        <f t="shared" si="40"/>
        <v>-1.4484831921289968E-2</v>
      </c>
      <c r="V25" s="16">
        <f t="shared" ref="V25:AD25" si="41">V19/V4</f>
        <v>7.5748770336738561E-2</v>
      </c>
      <c r="W25" s="16">
        <f t="shared" si="41"/>
        <v>0.35822108815739689</v>
      </c>
      <c r="X25" s="16">
        <f t="shared" si="41"/>
        <v>0.53529679996367763</v>
      </c>
      <c r="Y25" s="16">
        <f t="shared" si="41"/>
        <v>0.63780542646638516</v>
      </c>
      <c r="Z25" s="16">
        <f t="shared" si="41"/>
        <v>0.68846465547414559</v>
      </c>
      <c r="AA25" s="16">
        <f t="shared" si="41"/>
        <v>0.70389133511059254</v>
      </c>
      <c r="AB25" s="16">
        <f t="shared" si="41"/>
        <v>0.69613261910044033</v>
      </c>
      <c r="AC25" s="16">
        <f t="shared" si="41"/>
        <v>0.67382875322680613</v>
      </c>
      <c r="AD25" s="16">
        <f t="shared" si="41"/>
        <v>0.64309359174487313</v>
      </c>
      <c r="AF25" s="42" t="s">
        <v>122</v>
      </c>
      <c r="AG25" s="48">
        <f>NPV(AG24,S19:BK19)</f>
        <v>31.100081138928633</v>
      </c>
    </row>
    <row r="26" spans="2:63" x14ac:dyDescent="0.25">
      <c r="B26" t="s">
        <v>31</v>
      </c>
      <c r="C26" s="16">
        <f t="shared" ref="C26:H26" si="42">C18/C17</f>
        <v>-5.222869127579844E-2</v>
      </c>
      <c r="D26" s="33">
        <f t="shared" si="42"/>
        <v>-0.23646133133676323</v>
      </c>
      <c r="E26" s="16">
        <f t="shared" si="42"/>
        <v>0</v>
      </c>
      <c r="F26" s="33">
        <f t="shared" si="42"/>
        <v>0</v>
      </c>
      <c r="G26" s="16">
        <f t="shared" si="42"/>
        <v>0</v>
      </c>
      <c r="H26" s="33">
        <f t="shared" si="42"/>
        <v>0</v>
      </c>
      <c r="I26" s="16">
        <f t="shared" ref="I26:J26" si="43">I18/I17</f>
        <v>0</v>
      </c>
      <c r="J26" s="33">
        <f t="shared" si="43"/>
        <v>0</v>
      </c>
      <c r="K26" s="16">
        <f t="shared" ref="K26:M26" si="44">K18/K17</f>
        <v>-0.10140845070422533</v>
      </c>
      <c r="L26" s="33">
        <f t="shared" si="44"/>
        <v>0</v>
      </c>
      <c r="M26" s="16">
        <f t="shared" si="44"/>
        <v>0</v>
      </c>
      <c r="P26" s="16">
        <f>P18/P17</f>
        <v>-1.8241779561893007E-2</v>
      </c>
      <c r="Q26" s="16">
        <f>Q18/Q17</f>
        <v>-0.1382307873290182</v>
      </c>
      <c r="R26" s="16">
        <f>R18/R17</f>
        <v>0</v>
      </c>
      <c r="S26" s="16">
        <f>S18/S17</f>
        <v>0</v>
      </c>
      <c r="T26" s="16">
        <f t="shared" ref="T26:U26" si="45">T18/T17</f>
        <v>0</v>
      </c>
      <c r="U26" s="16">
        <f t="shared" si="45"/>
        <v>-0.18461538461538463</v>
      </c>
      <c r="V26" s="16">
        <f t="shared" ref="V26:AD26" si="46">V18/V17</f>
        <v>-1.3337868208524231</v>
      </c>
      <c r="W26" s="16">
        <f t="shared" si="46"/>
        <v>-3.8412868618290075</v>
      </c>
      <c r="X26" s="16">
        <f t="shared" si="46"/>
        <v>-12.672163458337829</v>
      </c>
      <c r="Y26" s="16">
        <f t="shared" si="46"/>
        <v>34.624026369029764</v>
      </c>
      <c r="Z26" s="16">
        <f t="shared" si="46"/>
        <v>9.0413396284279379</v>
      </c>
      <c r="AA26" s="16">
        <f t="shared" si="46"/>
        <v>5.470435555015003</v>
      </c>
      <c r="AB26" s="16">
        <f t="shared" si="46"/>
        <v>3.9476108896408526</v>
      </c>
      <c r="AC26" s="16">
        <f t="shared" si="46"/>
        <v>3.0590787708857947</v>
      </c>
      <c r="AD26" s="16">
        <f t="shared" si="46"/>
        <v>2.4565164230606178</v>
      </c>
      <c r="AF26" s="42" t="s">
        <v>6</v>
      </c>
      <c r="AG26" s="49">
        <f>Main!C11</f>
        <v>7.75</v>
      </c>
    </row>
    <row r="27" spans="2:63" x14ac:dyDescent="0.25">
      <c r="AF27" s="42" t="s">
        <v>123</v>
      </c>
      <c r="AG27" s="50">
        <f>AG26+AG25</f>
        <v>38.85008113892863</v>
      </c>
    </row>
    <row r="28" spans="2:63" x14ac:dyDescent="0.25">
      <c r="B28" t="s">
        <v>93</v>
      </c>
      <c r="C28" s="15">
        <v>0</v>
      </c>
      <c r="D28" s="34">
        <f t="shared" ref="D28:M28" si="47">D4/C4-1</f>
        <v>3.410320035630221E-2</v>
      </c>
      <c r="E28" s="36">
        <f t="shared" si="47"/>
        <v>-0.21817510613425217</v>
      </c>
      <c r="F28" s="34">
        <f t="shared" si="47"/>
        <v>1.893916738805383</v>
      </c>
      <c r="G28" s="17">
        <f t="shared" si="47"/>
        <v>88.036657330106323</v>
      </c>
      <c r="H28" s="34">
        <f t="shared" si="47"/>
        <v>3.0016111076326801</v>
      </c>
      <c r="I28" s="17">
        <f t="shared" si="47"/>
        <v>-0.24957191176363958</v>
      </c>
      <c r="J28" s="34">
        <f t="shared" si="47"/>
        <v>0.26952807160292913</v>
      </c>
      <c r="K28" s="17">
        <f t="shared" si="47"/>
        <v>-0.80259573786252203</v>
      </c>
      <c r="L28" s="34">
        <f t="shared" si="47"/>
        <v>2.4549512987012987</v>
      </c>
      <c r="M28" s="17">
        <f t="shared" si="47"/>
        <v>-0.89651121813696699</v>
      </c>
      <c r="AF28" s="44" t="s">
        <v>124</v>
      </c>
      <c r="AG28" s="52">
        <f>AG27/Main!C7</f>
        <v>0.74703074912372858</v>
      </c>
      <c r="AI28" s="94"/>
    </row>
    <row r="29" spans="2:63" s="12" customFormat="1" x14ac:dyDescent="0.25">
      <c r="B29" s="12" t="s">
        <v>97</v>
      </c>
      <c r="C29" s="89">
        <v>0</v>
      </c>
      <c r="D29" s="90">
        <v>0</v>
      </c>
      <c r="E29" s="91">
        <f t="shared" ref="E29:M29" si="48">E4/C4-1</f>
        <v>-0.19151237513520392</v>
      </c>
      <c r="F29" s="92">
        <f t="shared" si="48"/>
        <v>1.2625361471728298</v>
      </c>
      <c r="G29" s="91">
        <f t="shared" si="48"/>
        <v>256.6646730148737</v>
      </c>
      <c r="H29" s="92">
        <f t="shared" si="48"/>
        <v>355.29007695863817</v>
      </c>
      <c r="I29" s="91">
        <f t="shared" si="48"/>
        <v>2.0029213733661768</v>
      </c>
      <c r="J29" s="92">
        <f t="shared" si="48"/>
        <v>-4.7310476264620593E-2</v>
      </c>
      <c r="K29" s="91">
        <f t="shared" si="48"/>
        <v>-0.74938974776240852</v>
      </c>
      <c r="L29" s="92">
        <f t="shared" si="48"/>
        <v>-0.3179778881589489</v>
      </c>
      <c r="M29" s="91">
        <f t="shared" si="48"/>
        <v>-0.64245129870129869</v>
      </c>
      <c r="N29" s="133"/>
      <c r="P29" s="89">
        <v>0</v>
      </c>
      <c r="Q29" s="91">
        <f>Q4/P4-1</f>
        <v>5.6081025217031826</v>
      </c>
      <c r="R29" s="91">
        <f>R4/Q4-1</f>
        <v>0.54770096965905557</v>
      </c>
      <c r="S29" s="91">
        <f>S4/R4-1</f>
        <v>329.9620048504446</v>
      </c>
      <c r="T29" s="91">
        <f t="shared" ref="T29:U29" si="49">T4/S4-1</f>
        <v>0.36260381045432322</v>
      </c>
      <c r="U29" s="91">
        <f t="shared" si="49"/>
        <v>-0.50806668459263249</v>
      </c>
      <c r="V29" s="91">
        <f t="shared" ref="V29" si="50">V4/U4-1</f>
        <v>-0.69902978955998907</v>
      </c>
      <c r="W29" s="91">
        <f t="shared" ref="W29:AD29" si="51">W4/V4-1</f>
        <v>0.25</v>
      </c>
      <c r="X29" s="91">
        <f t="shared" si="51"/>
        <v>0.25</v>
      </c>
      <c r="Y29" s="91">
        <f t="shared" si="51"/>
        <v>0.25</v>
      </c>
      <c r="Z29" s="91">
        <f t="shared" si="51"/>
        <v>0.25</v>
      </c>
      <c r="AA29" s="91">
        <f t="shared" si="51"/>
        <v>0.25</v>
      </c>
      <c r="AB29" s="91">
        <f t="shared" si="51"/>
        <v>0.25</v>
      </c>
      <c r="AC29" s="91">
        <f t="shared" si="51"/>
        <v>0.25</v>
      </c>
      <c r="AD29" s="91">
        <f t="shared" si="51"/>
        <v>0.25</v>
      </c>
      <c r="AF29" s="44" t="s">
        <v>125</v>
      </c>
      <c r="AG29" s="93">
        <f>Main!C6</f>
        <v>0.12620000000000001</v>
      </c>
    </row>
    <row r="30" spans="2:63" x14ac:dyDescent="0.25">
      <c r="B30" t="s">
        <v>128</v>
      </c>
      <c r="C30" s="15">
        <v>0</v>
      </c>
      <c r="D30" s="35">
        <f t="shared" ref="D30:M30" si="52">D19/C19-1</f>
        <v>-0.29467388226560065</v>
      </c>
      <c r="E30" s="17">
        <f t="shared" si="52"/>
        <v>0.51684872692760098</v>
      </c>
      <c r="F30" s="35">
        <f t="shared" si="52"/>
        <v>0.78938380080689075</v>
      </c>
      <c r="G30" s="17">
        <f t="shared" si="52"/>
        <v>-0.8886665255812356</v>
      </c>
      <c r="H30" s="35">
        <f t="shared" si="52"/>
        <v>-9.4575211556924881</v>
      </c>
      <c r="I30" s="17">
        <f t="shared" si="52"/>
        <v>-0.99603999081277828</v>
      </c>
      <c r="J30" s="35">
        <f t="shared" si="52"/>
        <v>166.55555555553869</v>
      </c>
      <c r="K30" s="17">
        <f t="shared" si="52"/>
        <v>-1.2115384615384617</v>
      </c>
      <c r="L30" s="35">
        <f t="shared" si="52"/>
        <v>-1.5015673981191198</v>
      </c>
      <c r="M30" s="17">
        <f t="shared" si="52"/>
        <v>-8.4937500000000341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7"/>
      <c r="W30" s="17"/>
      <c r="X30" s="17"/>
      <c r="Y30" s="17"/>
      <c r="Z30" s="17"/>
      <c r="AA30" s="17"/>
      <c r="AB30" s="17"/>
      <c r="AC30" s="17"/>
      <c r="AD30" s="17"/>
      <c r="AF30" s="42"/>
      <c r="AG30" s="43"/>
    </row>
    <row r="31" spans="2:63" s="12" customFormat="1" x14ac:dyDescent="0.25">
      <c r="B31" s="12" t="s">
        <v>129</v>
      </c>
      <c r="C31" s="89">
        <v>0</v>
      </c>
      <c r="D31" s="90">
        <v>0</v>
      </c>
      <c r="E31" s="91">
        <f t="shared" ref="E31:M31" si="53">E19/C19-1</f>
        <v>6.9873023754210895E-2</v>
      </c>
      <c r="F31" s="92">
        <f t="shared" si="53"/>
        <v>1.7142245402388041</v>
      </c>
      <c r="G31" s="91">
        <f t="shared" si="53"/>
        <v>-0.80078168438751474</v>
      </c>
      <c r="H31" s="92">
        <f t="shared" si="53"/>
        <v>-1.941605215233448</v>
      </c>
      <c r="I31" s="91">
        <f t="shared" si="53"/>
        <v>-1.0334918614776643</v>
      </c>
      <c r="J31" s="92">
        <f t="shared" si="53"/>
        <v>-0.33647846063002929</v>
      </c>
      <c r="K31" s="91">
        <f t="shared" si="53"/>
        <v>-36.444444444440911</v>
      </c>
      <c r="L31" s="92">
        <f t="shared" si="53"/>
        <v>-0.89389920424403224</v>
      </c>
      <c r="M31" s="91">
        <f t="shared" si="53"/>
        <v>2.7586206896551717</v>
      </c>
      <c r="N31" s="133"/>
      <c r="P31" s="89">
        <v>0</v>
      </c>
      <c r="Q31" s="91">
        <f>Q19/P19-1</f>
        <v>-0.23581032497875432</v>
      </c>
      <c r="R31" s="91">
        <f>R19/Q19-1</f>
        <v>0.74997993072728897</v>
      </c>
      <c r="S31" s="91">
        <f>S19/R19-1</f>
        <v>-1.5326175633671386</v>
      </c>
      <c r="T31" s="91">
        <f t="shared" ref="T31:U31" si="54">T19/S19-1</f>
        <v>-0.24301397205588893</v>
      </c>
      <c r="U31" s="91">
        <f t="shared" si="54"/>
        <v>-1.1048121292023731</v>
      </c>
      <c r="V31" s="91"/>
      <c r="W31" s="91"/>
      <c r="X31" s="91"/>
      <c r="Y31" s="91"/>
      <c r="Z31" s="91"/>
      <c r="AA31" s="91"/>
      <c r="AB31" s="91"/>
      <c r="AC31" s="91"/>
      <c r="AD31" s="91"/>
      <c r="AF31" s="44"/>
      <c r="AG31" s="93"/>
    </row>
    <row r="32" spans="2:63" x14ac:dyDescent="0.25">
      <c r="C32" s="15"/>
      <c r="D32" s="61"/>
      <c r="E32" s="17"/>
      <c r="F32" s="35"/>
      <c r="G32" s="17"/>
      <c r="H32" s="35"/>
      <c r="P32" s="15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F32" s="42"/>
      <c r="AG32" s="43"/>
    </row>
    <row r="33" spans="2:33" x14ac:dyDescent="0.25">
      <c r="AF33" s="45" t="s">
        <v>126</v>
      </c>
      <c r="AG33" s="51">
        <f>AG28/AG29</f>
        <v>5.9194195651642518</v>
      </c>
    </row>
    <row r="34" spans="2:33" x14ac:dyDescent="0.25">
      <c r="B34" s="29" t="s">
        <v>68</v>
      </c>
    </row>
    <row r="35" spans="2:33" x14ac:dyDescent="0.25">
      <c r="B35" t="s">
        <v>69</v>
      </c>
      <c r="D35" s="56">
        <v>0.25986100000000001</v>
      </c>
      <c r="E35" s="54">
        <v>7.0184999999999997E-2</v>
      </c>
      <c r="F35" s="56">
        <f t="shared" ref="F35:F41" si="55">R35</f>
        <v>5.5516999999999997E-2</v>
      </c>
      <c r="G35" s="54">
        <v>0.15177399999999999</v>
      </c>
      <c r="H35" s="56">
        <f>S35</f>
        <v>0.16300000000000001</v>
      </c>
      <c r="I35" s="54">
        <v>8.7999999999999995E-2</v>
      </c>
      <c r="Q35" s="54">
        <v>0.25986100000000001</v>
      </c>
      <c r="R35" s="54">
        <v>5.5516999999999997E-2</v>
      </c>
      <c r="S35" s="54">
        <v>0.16300000000000001</v>
      </c>
    </row>
    <row r="36" spans="2:33" x14ac:dyDescent="0.25">
      <c r="B36" t="s">
        <v>70</v>
      </c>
      <c r="D36" s="56">
        <v>0.44419799999999998</v>
      </c>
      <c r="E36" s="55">
        <v>0</v>
      </c>
      <c r="F36" s="56">
        <f t="shared" si="55"/>
        <v>0</v>
      </c>
      <c r="G36" s="55">
        <v>0</v>
      </c>
      <c r="H36" s="56">
        <f>S36</f>
        <v>0</v>
      </c>
      <c r="I36" s="39">
        <v>8.7999999999999995E-2</v>
      </c>
      <c r="Q36" s="55">
        <v>0.44419799999999998</v>
      </c>
      <c r="R36" s="55">
        <v>0</v>
      </c>
      <c r="S36" s="55">
        <v>0</v>
      </c>
    </row>
    <row r="37" spans="2:33" x14ac:dyDescent="0.25">
      <c r="B37" t="s">
        <v>71</v>
      </c>
      <c r="D37" s="56">
        <v>0.79053300000000004</v>
      </c>
      <c r="E37" s="54">
        <v>0.74207100000000004</v>
      </c>
      <c r="F37" s="56">
        <f t="shared" si="55"/>
        <v>0.61656</v>
      </c>
      <c r="G37" s="54">
        <v>0.50338899999999998</v>
      </c>
      <c r="H37" s="56">
        <f>S37</f>
        <v>2.2890000000000001</v>
      </c>
      <c r="I37" s="54">
        <v>2.52</v>
      </c>
      <c r="Q37" s="54">
        <v>0.79053300000000004</v>
      </c>
      <c r="R37" s="54">
        <v>0.61656</v>
      </c>
      <c r="S37" s="54">
        <v>2.2890000000000001</v>
      </c>
    </row>
    <row r="38" spans="2:33" x14ac:dyDescent="0.25">
      <c r="B38" t="s">
        <v>72</v>
      </c>
      <c r="D38" s="56">
        <v>0.38020500000000002</v>
      </c>
      <c r="E38" s="54">
        <v>0.476802</v>
      </c>
      <c r="F38" s="56">
        <f t="shared" si="55"/>
        <v>2.8080000000000002E-3</v>
      </c>
      <c r="G38" s="54">
        <v>0.78258399999999995</v>
      </c>
      <c r="H38" s="56">
        <f t="shared" ref="H38:H55" si="56">S38</f>
        <v>0.497</v>
      </c>
      <c r="I38" s="54">
        <v>0.71099999999999997</v>
      </c>
      <c r="Q38" s="54">
        <v>0.38020500000000002</v>
      </c>
      <c r="R38" s="54">
        <v>2.8080000000000002E-3</v>
      </c>
      <c r="S38" s="54">
        <v>0.497</v>
      </c>
    </row>
    <row r="39" spans="2:33" x14ac:dyDescent="0.25">
      <c r="B39" t="s">
        <v>73</v>
      </c>
      <c r="D39" s="56">
        <v>0.122765</v>
      </c>
      <c r="E39" s="54">
        <v>0.22198100000000001</v>
      </c>
      <c r="F39" s="56">
        <f t="shared" si="55"/>
        <v>0.19489699999999999</v>
      </c>
      <c r="G39" s="54">
        <v>3.1137700000000001</v>
      </c>
      <c r="H39" s="56">
        <f t="shared" si="56"/>
        <v>2.3319999999999999</v>
      </c>
      <c r="I39" s="54">
        <v>3.2240000000000002</v>
      </c>
      <c r="Q39" s="54">
        <v>0.122765</v>
      </c>
      <c r="R39" s="54">
        <v>0.19489699999999999</v>
      </c>
      <c r="S39" s="54">
        <v>2.3319999999999999</v>
      </c>
    </row>
    <row r="40" spans="2:33" x14ac:dyDescent="0.25">
      <c r="B40" t="s">
        <v>74</v>
      </c>
      <c r="D40" s="56">
        <v>0.17830299999999999</v>
      </c>
      <c r="E40" s="54">
        <v>0.17830199999999999</v>
      </c>
      <c r="F40" s="56">
        <f t="shared" si="55"/>
        <v>0</v>
      </c>
      <c r="G40" s="54">
        <v>0</v>
      </c>
      <c r="H40" s="56">
        <f t="shared" si="56"/>
        <v>0</v>
      </c>
      <c r="I40" s="54">
        <v>0</v>
      </c>
      <c r="Q40" s="54">
        <v>0.17830299999999999</v>
      </c>
      <c r="R40" s="54">
        <v>0</v>
      </c>
      <c r="S40" s="54">
        <v>0</v>
      </c>
    </row>
    <row r="41" spans="2:33" x14ac:dyDescent="0.25">
      <c r="B41" s="12" t="s">
        <v>4</v>
      </c>
      <c r="C41" s="12"/>
      <c r="D41" s="57">
        <v>0.61626300000000001</v>
      </c>
      <c r="E41" s="58">
        <v>1.3517459999999999</v>
      </c>
      <c r="F41" s="57">
        <f t="shared" si="55"/>
        <v>0.465671</v>
      </c>
      <c r="G41" s="58">
        <v>2.214496</v>
      </c>
      <c r="H41" s="57">
        <f t="shared" si="56"/>
        <v>6.3869999999999996</v>
      </c>
      <c r="I41" s="80">
        <v>6.9950000000000001</v>
      </c>
      <c r="J41" s="60"/>
      <c r="K41" s="12"/>
      <c r="L41" s="60"/>
      <c r="M41" s="12"/>
      <c r="N41" s="133"/>
      <c r="O41" s="12"/>
      <c r="P41" s="12"/>
      <c r="Q41" s="58">
        <v>0.61626300000000001</v>
      </c>
      <c r="R41" s="58">
        <v>0.465671</v>
      </c>
      <c r="S41" s="58">
        <v>6.3869999999999996</v>
      </c>
    </row>
    <row r="42" spans="2:33" x14ac:dyDescent="0.25">
      <c r="B42" t="s">
        <v>75</v>
      </c>
      <c r="D42" s="56">
        <v>2.7921279999999999</v>
      </c>
      <c r="E42" s="39">
        <f>SUM(E35:E41)</f>
        <v>3.0410870000000001</v>
      </c>
      <c r="F42" s="56">
        <f>SUM(F35:F41)</f>
        <v>1.335453</v>
      </c>
      <c r="G42" s="39">
        <f>SUM(G35:G41)</f>
        <v>6.7660130000000009</v>
      </c>
      <c r="H42" s="56">
        <f t="shared" si="56"/>
        <v>11.667999999999999</v>
      </c>
      <c r="I42" s="39">
        <f>SUM(I35:I41)</f>
        <v>13.626000000000001</v>
      </c>
      <c r="Q42" s="39">
        <f>SUM(Q35:Q41)</f>
        <v>2.7921279999999999</v>
      </c>
      <c r="R42" s="39">
        <f>SUM(R35:R41)</f>
        <v>1.335453</v>
      </c>
      <c r="S42" s="39">
        <f>SUM(S35:S41)</f>
        <v>11.667999999999999</v>
      </c>
    </row>
    <row r="43" spans="2:33" x14ac:dyDescent="0.25">
      <c r="D43" s="56"/>
      <c r="E43" s="39"/>
      <c r="F43" s="56">
        <f t="shared" ref="F43:F48" si="57">R43</f>
        <v>0</v>
      </c>
      <c r="G43" s="39"/>
      <c r="H43" s="56">
        <f t="shared" si="56"/>
        <v>0</v>
      </c>
      <c r="Q43" s="39"/>
      <c r="R43" s="39"/>
      <c r="S43" s="39"/>
    </row>
    <row r="44" spans="2:33" x14ac:dyDescent="0.25">
      <c r="B44" t="s">
        <v>76</v>
      </c>
      <c r="D44" s="56">
        <v>0.27152300000000001</v>
      </c>
      <c r="E44" s="39">
        <v>0.31251600000000002</v>
      </c>
      <c r="F44" s="56">
        <f t="shared" si="57"/>
        <v>0.38318600000000003</v>
      </c>
      <c r="G44" s="39">
        <v>2.9940030000000002</v>
      </c>
      <c r="H44" s="56">
        <f t="shared" si="56"/>
        <v>3.3149999999999999</v>
      </c>
      <c r="I44" s="39">
        <v>5.0940000000000003</v>
      </c>
      <c r="Q44" s="39">
        <v>0.27152300000000001</v>
      </c>
      <c r="R44" s="39">
        <v>0.38318600000000003</v>
      </c>
      <c r="S44" s="39">
        <v>3.3149999999999999</v>
      </c>
    </row>
    <row r="45" spans="2:33" x14ac:dyDescent="0.25">
      <c r="B45" t="s">
        <v>77</v>
      </c>
      <c r="D45" s="56">
        <v>0</v>
      </c>
      <c r="E45" s="39">
        <v>0</v>
      </c>
      <c r="F45" s="56">
        <f t="shared" si="57"/>
        <v>8.7378999999999998E-2</v>
      </c>
      <c r="G45" s="39">
        <v>0</v>
      </c>
      <c r="H45" s="56">
        <f t="shared" si="56"/>
        <v>0</v>
      </c>
      <c r="I45" s="39">
        <v>0</v>
      </c>
      <c r="Q45" s="39">
        <v>0</v>
      </c>
      <c r="R45" s="39">
        <v>8.7378999999999998E-2</v>
      </c>
      <c r="S45" s="39">
        <v>0</v>
      </c>
    </row>
    <row r="46" spans="2:33" x14ac:dyDescent="0.25">
      <c r="B46" t="s">
        <v>78</v>
      </c>
      <c r="D46" s="56">
        <v>0.101036</v>
      </c>
      <c r="E46" s="39">
        <v>0</v>
      </c>
      <c r="F46" s="56">
        <f t="shared" si="57"/>
        <v>4.895E-3</v>
      </c>
      <c r="G46" s="39">
        <v>0</v>
      </c>
      <c r="H46" s="56">
        <f t="shared" si="56"/>
        <v>0</v>
      </c>
      <c r="I46" s="39">
        <v>2.5999999999999999E-2</v>
      </c>
      <c r="Q46" s="39">
        <v>0.101036</v>
      </c>
      <c r="R46" s="39">
        <v>4.895E-3</v>
      </c>
      <c r="S46" s="39">
        <v>0</v>
      </c>
    </row>
    <row r="47" spans="2:33" x14ac:dyDescent="0.25">
      <c r="B47" t="s">
        <v>79</v>
      </c>
      <c r="D47" s="56">
        <v>0</v>
      </c>
      <c r="E47" s="39">
        <v>0.102697</v>
      </c>
      <c r="F47" s="56">
        <f t="shared" si="57"/>
        <v>0</v>
      </c>
      <c r="G47" s="39">
        <v>0</v>
      </c>
      <c r="H47" s="56">
        <f t="shared" si="56"/>
        <v>0</v>
      </c>
      <c r="I47" s="39">
        <v>0</v>
      </c>
      <c r="Q47" s="39">
        <v>0</v>
      </c>
      <c r="R47" s="39">
        <v>0</v>
      </c>
      <c r="S47" s="39">
        <v>0</v>
      </c>
    </row>
    <row r="48" spans="2:33" x14ac:dyDescent="0.25">
      <c r="B48" t="s">
        <v>80</v>
      </c>
      <c r="D48" s="56">
        <v>0</v>
      </c>
      <c r="E48" s="39">
        <v>0</v>
      </c>
      <c r="F48" s="56">
        <f t="shared" si="57"/>
        <v>0.22625000000000001</v>
      </c>
      <c r="G48" s="39">
        <v>0.22625000000000001</v>
      </c>
      <c r="H48" s="56">
        <f t="shared" si="56"/>
        <v>0</v>
      </c>
      <c r="I48" s="39">
        <v>0</v>
      </c>
      <c r="Q48" s="39">
        <v>0</v>
      </c>
      <c r="R48" s="39">
        <v>0.22625000000000001</v>
      </c>
      <c r="S48" s="39">
        <v>0</v>
      </c>
    </row>
    <row r="49" spans="2:19" x14ac:dyDescent="0.25">
      <c r="B49" t="s">
        <v>130</v>
      </c>
      <c r="D49" s="56">
        <v>0</v>
      </c>
      <c r="E49" s="39">
        <v>0</v>
      </c>
      <c r="F49" s="56">
        <v>0</v>
      </c>
      <c r="G49" s="39">
        <v>0</v>
      </c>
      <c r="H49" s="56">
        <f t="shared" si="56"/>
        <v>1.24</v>
      </c>
      <c r="I49" s="39">
        <v>0</v>
      </c>
      <c r="Q49" s="39">
        <v>0</v>
      </c>
      <c r="R49" s="39">
        <v>0</v>
      </c>
      <c r="S49" s="39">
        <v>1.24</v>
      </c>
    </row>
    <row r="50" spans="2:19" x14ac:dyDescent="0.25">
      <c r="B50" t="s">
        <v>82</v>
      </c>
      <c r="C50" t="s">
        <v>81</v>
      </c>
      <c r="D50" s="56">
        <v>0.185747</v>
      </c>
      <c r="E50" s="39">
        <v>0</v>
      </c>
      <c r="F50" s="56">
        <f>R50</f>
        <v>0</v>
      </c>
      <c r="G50" s="39">
        <v>0</v>
      </c>
      <c r="H50" s="56">
        <f t="shared" si="56"/>
        <v>0</v>
      </c>
      <c r="I50" s="39">
        <v>0.04</v>
      </c>
      <c r="Q50" s="39">
        <v>0.185747</v>
      </c>
      <c r="R50" s="39">
        <v>0</v>
      </c>
      <c r="S50" s="39">
        <v>0</v>
      </c>
    </row>
    <row r="51" spans="2:19" x14ac:dyDescent="0.25">
      <c r="B51" s="12" t="s">
        <v>83</v>
      </c>
      <c r="C51" s="12" t="s">
        <v>81</v>
      </c>
      <c r="D51" s="57">
        <v>0</v>
      </c>
      <c r="E51" s="59">
        <v>0</v>
      </c>
      <c r="F51" s="57">
        <f>R51</f>
        <v>0.104367</v>
      </c>
      <c r="G51" s="59">
        <v>0</v>
      </c>
      <c r="H51" s="56">
        <f t="shared" si="56"/>
        <v>0</v>
      </c>
      <c r="I51" s="59">
        <v>0</v>
      </c>
      <c r="J51" s="60"/>
      <c r="K51" s="12"/>
      <c r="L51" s="60"/>
      <c r="M51" s="12"/>
      <c r="N51" s="133"/>
      <c r="O51" s="12"/>
      <c r="P51" s="12"/>
      <c r="Q51" s="59">
        <v>0</v>
      </c>
      <c r="R51" s="59">
        <v>0.104367</v>
      </c>
      <c r="S51" s="59">
        <v>0</v>
      </c>
    </row>
    <row r="52" spans="2:19" x14ac:dyDescent="0.25">
      <c r="B52" t="s">
        <v>84</v>
      </c>
      <c r="D52" s="56">
        <v>0.55830599999999997</v>
      </c>
      <c r="E52" s="39">
        <f>SUM(E44:E51)</f>
        <v>0.415213</v>
      </c>
      <c r="F52" s="56">
        <f>SUM(F44:F51)</f>
        <v>0.80607700000000004</v>
      </c>
      <c r="G52" s="39">
        <f>SUM(G44:G51)</f>
        <v>3.220253</v>
      </c>
      <c r="H52" s="56">
        <f t="shared" si="56"/>
        <v>4.5549999999999997</v>
      </c>
      <c r="I52" s="39">
        <f>SUM(I44:I51)</f>
        <v>5.16</v>
      </c>
      <c r="Q52" s="39">
        <f>SUM(Q44:Q51)</f>
        <v>0.55830599999999997</v>
      </c>
      <c r="R52" s="39">
        <f>SUM(R44:R51)</f>
        <v>0.80607700000000004</v>
      </c>
      <c r="S52" s="39">
        <f>SUM(S44:S51)</f>
        <v>4.5549999999999997</v>
      </c>
    </row>
    <row r="53" spans="2:19" x14ac:dyDescent="0.25">
      <c r="D53" s="56"/>
      <c r="E53" s="39"/>
      <c r="F53" s="56"/>
      <c r="G53" s="39"/>
      <c r="H53" s="56">
        <f t="shared" si="56"/>
        <v>0</v>
      </c>
      <c r="Q53" s="39"/>
      <c r="R53" s="39"/>
      <c r="S53" s="39"/>
    </row>
    <row r="54" spans="2:19" x14ac:dyDescent="0.25">
      <c r="B54" t="s">
        <v>85</v>
      </c>
      <c r="D54" s="56">
        <v>2.233822</v>
      </c>
      <c r="E54" s="39">
        <v>2.625874</v>
      </c>
      <c r="F54" s="56">
        <f>R54</f>
        <v>0.52937599999999996</v>
      </c>
      <c r="G54" s="39">
        <v>3.54576</v>
      </c>
      <c r="H54" s="56">
        <f t="shared" si="56"/>
        <v>7.1130000000000004</v>
      </c>
      <c r="I54" s="39">
        <v>8.4659999999999993</v>
      </c>
      <c r="Q54" s="39">
        <v>2.233822</v>
      </c>
      <c r="R54" s="39">
        <v>0.52937599999999996</v>
      </c>
      <c r="S54" s="39">
        <v>7.1130000000000004</v>
      </c>
    </row>
    <row r="55" spans="2:19" x14ac:dyDescent="0.25">
      <c r="B55" t="s">
        <v>86</v>
      </c>
      <c r="D55" s="56">
        <v>2.7921279999999999</v>
      </c>
      <c r="E55" s="39">
        <f>E54+E52</f>
        <v>3.0410870000000001</v>
      </c>
      <c r="F55" s="56">
        <f>F54+F52</f>
        <v>1.335453</v>
      </c>
      <c r="G55" s="39">
        <f>G54+G52</f>
        <v>6.7660130000000001</v>
      </c>
      <c r="H55" s="56">
        <f t="shared" si="56"/>
        <v>11.667999999999999</v>
      </c>
      <c r="I55" s="39">
        <f>I54+I52</f>
        <v>13.625999999999999</v>
      </c>
      <c r="Q55" s="39">
        <f>Q54+Q52</f>
        <v>2.7921279999999999</v>
      </c>
      <c r="R55" s="39">
        <f>R54+R52</f>
        <v>1.335453</v>
      </c>
      <c r="S55" s="39">
        <f>S54+S52</f>
        <v>11.667999999999999</v>
      </c>
    </row>
    <row r="56" spans="2:19" x14ac:dyDescent="0.25">
      <c r="D56" s="56"/>
      <c r="E56" s="39"/>
      <c r="F56" s="56"/>
      <c r="G56" s="39"/>
      <c r="H56" s="56"/>
      <c r="Q56" s="39"/>
      <c r="R56" s="39"/>
      <c r="S56" s="39"/>
    </row>
    <row r="57" spans="2:19" x14ac:dyDescent="0.25">
      <c r="B57" t="s">
        <v>143</v>
      </c>
      <c r="D57" s="56">
        <f t="shared" ref="D57" si="58">D42-D52</f>
        <v>2.233822</v>
      </c>
      <c r="E57" s="79">
        <f t="shared" ref="E57:F57" si="59">E42-E52</f>
        <v>2.625874</v>
      </c>
      <c r="F57" s="56">
        <f t="shared" si="59"/>
        <v>0.52937599999999996</v>
      </c>
      <c r="G57" s="79">
        <f t="shared" ref="G57:H57" si="60">G42-G52</f>
        <v>3.5457600000000009</v>
      </c>
      <c r="H57" s="56">
        <f t="shared" si="60"/>
        <v>7.1129999999999995</v>
      </c>
      <c r="I57" s="79">
        <f t="shared" ref="I57" si="61">I42-I52</f>
        <v>8.4660000000000011</v>
      </c>
      <c r="Q57" s="79">
        <f t="shared" ref="Q57:R57" si="62">Q42-Q52</f>
        <v>2.233822</v>
      </c>
      <c r="R57" s="79">
        <f t="shared" si="62"/>
        <v>0.52937599999999996</v>
      </c>
      <c r="S57" s="79">
        <f>S42-S52</f>
        <v>7.1129999999999995</v>
      </c>
    </row>
    <row r="58" spans="2:19" x14ac:dyDescent="0.25">
      <c r="B58" t="s">
        <v>144</v>
      </c>
      <c r="D58" s="56">
        <f t="shared" ref="D58:H58" si="63">D57/D21</f>
        <v>9.2774396784636708E-3</v>
      </c>
      <c r="E58" s="39">
        <f t="shared" ref="E58" si="64">E57/E21</f>
        <v>7.6424304594443658E-3</v>
      </c>
      <c r="F58" s="56">
        <f t="shared" si="63"/>
        <v>1.0223126865988698E-3</v>
      </c>
      <c r="G58" s="39">
        <f t="shared" si="63"/>
        <v>5.3359111491456885E-3</v>
      </c>
      <c r="H58" s="56">
        <f t="shared" si="63"/>
        <v>1.0006302296399251E-2</v>
      </c>
      <c r="I58" s="39">
        <f t="shared" ref="I58" si="65">I57/I21</f>
        <v>1.0932052374680408E-2</v>
      </c>
      <c r="Q58" s="39">
        <f t="shared" ref="Q58:R58" si="66">Q57/Q21</f>
        <v>9.2774396784636708E-3</v>
      </c>
      <c r="R58" s="39">
        <f t="shared" si="66"/>
        <v>1.0223126865988698E-3</v>
      </c>
      <c r="S58" s="39">
        <f>S57/S21</f>
        <v>1.0006302296399251E-2</v>
      </c>
    </row>
    <row r="59" spans="2:19" x14ac:dyDescent="0.25">
      <c r="D59" s="56"/>
      <c r="E59" s="39"/>
      <c r="F59" s="56"/>
      <c r="G59" s="39"/>
      <c r="H59" s="56"/>
      <c r="Q59" s="39"/>
      <c r="R59" s="39"/>
      <c r="S59" s="39"/>
    </row>
    <row r="60" spans="2:19" x14ac:dyDescent="0.25">
      <c r="B60" t="s">
        <v>162</v>
      </c>
      <c r="D60" s="56"/>
      <c r="E60" s="39"/>
      <c r="F60" s="56"/>
      <c r="G60" s="39"/>
      <c r="H60" s="56"/>
      <c r="Q60" s="39"/>
      <c r="R60" s="39"/>
      <c r="S60" s="39"/>
    </row>
    <row r="61" spans="2:19" x14ac:dyDescent="0.25">
      <c r="B61" t="s">
        <v>3</v>
      </c>
      <c r="D61" s="56"/>
      <c r="E61" s="39"/>
      <c r="F61" s="56"/>
      <c r="G61" s="39"/>
      <c r="H61" s="56"/>
      <c r="Q61" s="39"/>
      <c r="R61" s="39"/>
      <c r="S61" s="39"/>
    </row>
    <row r="62" spans="2:19" x14ac:dyDescent="0.25">
      <c r="B62" t="s">
        <v>7</v>
      </c>
      <c r="D62" s="56"/>
      <c r="E62" s="39"/>
      <c r="F62" s="56"/>
      <c r="G62" s="39"/>
      <c r="H62" s="56"/>
      <c r="Q62" s="39"/>
      <c r="R62" s="39"/>
      <c r="S62" s="39"/>
    </row>
    <row r="63" spans="2:19" x14ac:dyDescent="0.25">
      <c r="D63" s="56"/>
      <c r="E63" s="39"/>
      <c r="F63" s="56"/>
      <c r="G63" s="39"/>
      <c r="H63" s="56"/>
      <c r="Q63" s="39"/>
      <c r="R63" s="39"/>
      <c r="S63" s="39"/>
    </row>
    <row r="64" spans="2:19" x14ac:dyDescent="0.25">
      <c r="B64" t="s">
        <v>142</v>
      </c>
      <c r="D64" s="56"/>
      <c r="E64" s="39"/>
      <c r="F64" s="56"/>
      <c r="G64" s="39"/>
      <c r="H64" s="56"/>
      <c r="Q64" s="39"/>
      <c r="R64" s="39"/>
      <c r="S64" s="39"/>
    </row>
    <row r="65" spans="2:19" x14ac:dyDescent="0.25">
      <c r="B65" t="s">
        <v>159</v>
      </c>
      <c r="D65" s="56"/>
      <c r="E65" s="39"/>
      <c r="F65" s="56"/>
      <c r="G65" s="39"/>
      <c r="H65" s="56"/>
      <c r="Q65" s="39"/>
      <c r="R65" s="39"/>
      <c r="S65" s="39"/>
    </row>
    <row r="66" spans="2:19" x14ac:dyDescent="0.25">
      <c r="B66" t="s">
        <v>160</v>
      </c>
    </row>
    <row r="67" spans="2:19" x14ac:dyDescent="0.25">
      <c r="B67" t="s">
        <v>141</v>
      </c>
    </row>
    <row r="68" spans="2:19" x14ac:dyDescent="0.25">
      <c r="B68" t="s">
        <v>145</v>
      </c>
    </row>
    <row r="69" spans="2:19" x14ac:dyDescent="0.25">
      <c r="B69" t="s">
        <v>161</v>
      </c>
      <c r="D69" s="34">
        <f t="shared" ref="D69:I69" si="67">(D15+C15)/(D42-SUM(D49:D51))</f>
        <v>-0.94713013945390168</v>
      </c>
      <c r="E69" s="36">
        <f t="shared" si="67"/>
        <v>-0.82098736405765438</v>
      </c>
      <c r="F69" s="34">
        <f t="shared" si="67"/>
        <v>-3.0525825165747973</v>
      </c>
      <c r="G69" s="36">
        <f t="shared" si="67"/>
        <v>-0.39580630424446428</v>
      </c>
      <c r="H69" s="34">
        <f t="shared" si="67"/>
        <v>0.19620253164556961</v>
      </c>
      <c r="I69" s="36">
        <f t="shared" si="67"/>
        <v>0.17112763138524958</v>
      </c>
      <c r="S69" s="36">
        <f>S15/(S42-SUM(S49:S51))</f>
        <v>0.19620253164556978</v>
      </c>
    </row>
    <row r="72" spans="2:19" x14ac:dyDescent="0.25">
      <c r="B72" s="29" t="s">
        <v>137</v>
      </c>
    </row>
  </sheetData>
  <phoneticPr fontId="9" type="noConversion"/>
  <hyperlinks>
    <hyperlink ref="I1" r:id="rId1" xr:uid="{F72BBB7E-F5BE-4BCB-B865-C09658CA6157}"/>
    <hyperlink ref="M1" r:id="rId2" xr:uid="{25FA71C1-7C3E-46BA-B0C0-E17DED2FC048}"/>
    <hyperlink ref="U1" r:id="rId3" xr:uid="{263715D6-B09C-4693-A515-EF7FCF907326}"/>
  </hyperlinks>
  <pageMargins left="0.7" right="0.7" top="0.75" bottom="0.75" header="0.3" footer="0.3"/>
  <pageSetup paperSize="119" orientation="portrait" horizontalDpi="203" verticalDpi="203" r:id="rId4"/>
  <ignoredErrors>
    <ignoredError sqref="D17 F17 F7 F42 F52 H7 H17 H52 H55 H42 L15 L9:L14 L16:L20 J7 J15:J19" formula="1"/>
    <ignoredError sqref="I69 S69 D69:G69" formulaRange="1"/>
  </ignoredError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0562-FC62-4793-9141-96B57A1A963D}">
  <dimension ref="A1:E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8" sqref="E8"/>
    </sheetView>
  </sheetViews>
  <sheetFormatPr defaultRowHeight="12.75" x14ac:dyDescent="0.2"/>
  <cols>
    <col min="1" max="16384" width="9.140625" style="99"/>
  </cols>
  <sheetData>
    <row r="1" spans="1:5" s="101" customFormat="1" x14ac:dyDescent="0.2">
      <c r="B1" s="101" t="s">
        <v>242</v>
      </c>
      <c r="C1" s="101" t="s">
        <v>244</v>
      </c>
      <c r="D1" s="101" t="s">
        <v>245</v>
      </c>
      <c r="E1" s="101" t="s">
        <v>247</v>
      </c>
    </row>
    <row r="3" spans="1:5" s="160" customFormat="1" x14ac:dyDescent="0.2">
      <c r="A3" s="160" t="s">
        <v>249</v>
      </c>
      <c r="B3" s="160">
        <v>2342000</v>
      </c>
      <c r="D3" s="160">
        <v>572000</v>
      </c>
    </row>
    <row r="4" spans="1:5" s="160" customFormat="1" x14ac:dyDescent="0.2">
      <c r="A4" s="160" t="s">
        <v>250</v>
      </c>
      <c r="B4" s="160">
        <v>122000</v>
      </c>
      <c r="D4" s="160">
        <v>309000</v>
      </c>
    </row>
    <row r="6" spans="1:5" s="161" customFormat="1" x14ac:dyDescent="0.2">
      <c r="A6" s="161" t="s">
        <v>251</v>
      </c>
      <c r="D6" s="161">
        <f>D3/B3-1</f>
        <v>-0.75576430401366357</v>
      </c>
    </row>
    <row r="7" spans="1:5" s="161" customFormat="1" x14ac:dyDescent="0.2">
      <c r="A7" s="161" t="s">
        <v>252</v>
      </c>
      <c r="D7" s="161">
        <f>D4/B4-1</f>
        <v>1.5327868852459017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A8F7-A0BD-4E7F-9020-9AE5BBA9C9F8}">
  <dimension ref="B1:D16"/>
  <sheetViews>
    <sheetView workbookViewId="0">
      <selection activeCell="F23" sqref="F23"/>
    </sheetView>
  </sheetViews>
  <sheetFormatPr defaultColWidth="8.85546875" defaultRowHeight="15" x14ac:dyDescent="0.25"/>
  <cols>
    <col min="1" max="1" width="4.28515625" customWidth="1"/>
    <col min="2" max="2" width="47.28515625" bestFit="1" customWidth="1"/>
    <col min="3" max="4" width="10.7109375" bestFit="1" customWidth="1"/>
  </cols>
  <sheetData>
    <row r="1" spans="2:4" x14ac:dyDescent="0.25">
      <c r="B1" s="159" t="s">
        <v>50</v>
      </c>
      <c r="C1" s="159"/>
      <c r="D1" s="159"/>
    </row>
    <row r="2" spans="2:4" x14ac:dyDescent="0.25">
      <c r="C2" s="21">
        <v>44196</v>
      </c>
      <c r="D2" s="21">
        <v>44342</v>
      </c>
    </row>
    <row r="3" spans="2:4" x14ac:dyDescent="0.25">
      <c r="B3" s="37" t="s">
        <v>39</v>
      </c>
      <c r="C3" s="38">
        <v>0.121</v>
      </c>
      <c r="D3" s="38">
        <v>0.126</v>
      </c>
    </row>
    <row r="4" spans="2:4" x14ac:dyDescent="0.25">
      <c r="B4" t="s">
        <v>53</v>
      </c>
      <c r="C4" s="62">
        <v>0.115</v>
      </c>
      <c r="D4" s="62">
        <v>8.2000000000000003E-2</v>
      </c>
    </row>
    <row r="5" spans="2:4" x14ac:dyDescent="0.25">
      <c r="B5" s="37" t="s">
        <v>40</v>
      </c>
      <c r="C5" s="38">
        <v>9.4E-2</v>
      </c>
      <c r="D5" s="38">
        <v>0.11</v>
      </c>
    </row>
    <row r="6" spans="2:4" x14ac:dyDescent="0.25">
      <c r="B6" s="37" t="s">
        <v>41</v>
      </c>
      <c r="C6" s="38">
        <v>6.6000000000000003E-2</v>
      </c>
      <c r="D6" s="38">
        <v>7.0999999999999994E-2</v>
      </c>
    </row>
    <row r="7" spans="2:4" x14ac:dyDescent="0.25">
      <c r="B7" s="37" t="s">
        <v>42</v>
      </c>
      <c r="C7" s="38">
        <v>4.9000000000000002E-2</v>
      </c>
      <c r="D7" s="38">
        <v>5.6000000000000001E-2</v>
      </c>
    </row>
    <row r="8" spans="2:4" x14ac:dyDescent="0.25">
      <c r="B8" s="37" t="s">
        <v>44</v>
      </c>
      <c r="C8" s="38">
        <v>4.8000000000000001E-2</v>
      </c>
      <c r="D8" s="38">
        <v>3.4000000000000002E-2</v>
      </c>
    </row>
    <row r="9" spans="2:4" x14ac:dyDescent="0.25">
      <c r="B9" s="37" t="s">
        <v>43</v>
      </c>
      <c r="C9" s="38">
        <v>4.4999999999999998E-2</v>
      </c>
      <c r="D9" s="38">
        <v>5.3999999999999999E-2</v>
      </c>
    </row>
    <row r="10" spans="2:4" x14ac:dyDescent="0.25">
      <c r="B10" s="37" t="s">
        <v>45</v>
      </c>
      <c r="C10" s="38">
        <v>3.7999999999999999E-2</v>
      </c>
      <c r="D10" s="38">
        <v>3.3000000000000002E-2</v>
      </c>
    </row>
    <row r="11" spans="2:4" x14ac:dyDescent="0.25">
      <c r="B11" s="37" t="s">
        <v>46</v>
      </c>
      <c r="C11" s="38">
        <v>3.6999999999999998E-2</v>
      </c>
      <c r="D11" s="38">
        <v>3.1E-2</v>
      </c>
    </row>
    <row r="12" spans="2:4" x14ac:dyDescent="0.25">
      <c r="B12" s="37" t="s">
        <v>47</v>
      </c>
      <c r="C12" s="38">
        <v>3.5999999999999997E-2</v>
      </c>
      <c r="D12" s="38">
        <v>4.9000000000000002E-2</v>
      </c>
    </row>
    <row r="13" spans="2:4" x14ac:dyDescent="0.25">
      <c r="B13" s="37" t="s">
        <v>48</v>
      </c>
      <c r="C13" s="38">
        <v>0.03</v>
      </c>
      <c r="D13" s="38">
        <v>3.6999999999999998E-2</v>
      </c>
    </row>
    <row r="14" spans="2:4" x14ac:dyDescent="0.25">
      <c r="B14" t="s">
        <v>107</v>
      </c>
      <c r="C14" s="62">
        <v>0</v>
      </c>
      <c r="D14" s="62">
        <v>4.2000000000000003E-2</v>
      </c>
    </row>
    <row r="15" spans="2:4" x14ac:dyDescent="0.25">
      <c r="B15" t="s">
        <v>127</v>
      </c>
      <c r="C15" s="62">
        <v>2.5000000000000001E-2</v>
      </c>
      <c r="D15" s="62">
        <v>1.7999999999999999E-2</v>
      </c>
    </row>
    <row r="16" spans="2:4" x14ac:dyDescent="0.25">
      <c r="B16" t="s">
        <v>49</v>
      </c>
      <c r="C16" s="62">
        <v>2.4E-2</v>
      </c>
      <c r="D16" s="62">
        <v>1.7000000000000001E-2</v>
      </c>
    </row>
  </sheetData>
  <mergeCells count="1">
    <mergeCell ref="B1:D1"/>
  </mergeCells>
  <pageMargins left="0.7" right="0.7" top="0.75" bottom="0.75" header="0.3" footer="0.3"/>
  <pageSetup paperSize="119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E9ED6-1590-4E51-9AEA-DA97942BD76A}">
  <dimension ref="A1:E28"/>
  <sheetViews>
    <sheetView workbookViewId="0">
      <selection activeCell="G28" sqref="G28:G29"/>
    </sheetView>
  </sheetViews>
  <sheetFormatPr defaultRowHeight="12.75" x14ac:dyDescent="0.2"/>
  <cols>
    <col min="1" max="1" width="30.85546875" style="99" bestFit="1" customWidth="1"/>
    <col min="2" max="16384" width="9.140625" style="99"/>
  </cols>
  <sheetData>
    <row r="1" spans="1:5" s="101" customFormat="1" x14ac:dyDescent="0.2">
      <c r="D1" s="102" t="s">
        <v>37</v>
      </c>
      <c r="E1" s="101" t="s">
        <v>37</v>
      </c>
    </row>
    <row r="2" spans="1:5" x14ac:dyDescent="0.2">
      <c r="A2" s="100" t="s">
        <v>16</v>
      </c>
      <c r="D2" s="103">
        <v>20.470000000000002</v>
      </c>
    </row>
    <row r="3" spans="1:5" x14ac:dyDescent="0.2">
      <c r="A3" s="99" t="s">
        <v>17</v>
      </c>
      <c r="D3" s="104">
        <v>14.124300000000002</v>
      </c>
    </row>
    <row r="4" spans="1:5" x14ac:dyDescent="0.2">
      <c r="A4" s="99" t="s">
        <v>33</v>
      </c>
      <c r="D4" s="105">
        <v>0</v>
      </c>
    </row>
    <row r="5" spans="1:5" x14ac:dyDescent="0.2">
      <c r="A5" s="100" t="s">
        <v>18</v>
      </c>
      <c r="D5" s="103">
        <v>6.3457000000000008</v>
      </c>
    </row>
    <row r="6" spans="1:5" x14ac:dyDescent="0.2">
      <c r="A6" s="99" t="s">
        <v>34</v>
      </c>
      <c r="D6" s="105">
        <v>0</v>
      </c>
    </row>
    <row r="7" spans="1:5" x14ac:dyDescent="0.2">
      <c r="A7" s="99" t="s">
        <v>35</v>
      </c>
      <c r="D7" s="105">
        <v>0</v>
      </c>
    </row>
    <row r="8" spans="1:5" x14ac:dyDescent="0.2">
      <c r="A8" s="99" t="s">
        <v>19</v>
      </c>
      <c r="D8" s="105">
        <v>2.5529999999999999</v>
      </c>
    </row>
    <row r="9" spans="1:5" x14ac:dyDescent="0.2">
      <c r="A9" s="99" t="s">
        <v>20</v>
      </c>
      <c r="D9" s="105">
        <v>0</v>
      </c>
    </row>
    <row r="10" spans="1:5" x14ac:dyDescent="0.2">
      <c r="A10" s="99" t="s">
        <v>21</v>
      </c>
      <c r="D10" s="106">
        <v>0.112</v>
      </c>
    </row>
    <row r="11" spans="1:5" x14ac:dyDescent="0.2">
      <c r="A11" s="99" t="s">
        <v>22</v>
      </c>
      <c r="D11" s="105">
        <v>3.0790000000000002</v>
      </c>
    </row>
    <row r="12" spans="1:5" x14ac:dyDescent="0.2">
      <c r="A12" s="100" t="s">
        <v>55</v>
      </c>
      <c r="D12" s="107">
        <v>3.2667000000000006</v>
      </c>
    </row>
    <row r="13" spans="1:5" x14ac:dyDescent="0.2">
      <c r="A13" s="99" t="s">
        <v>23</v>
      </c>
      <c r="D13" s="105">
        <v>4.5360000000000004E-2</v>
      </c>
    </row>
    <row r="14" spans="1:5" x14ac:dyDescent="0.2">
      <c r="A14" s="100" t="s">
        <v>26</v>
      </c>
      <c r="D14" s="107">
        <v>3.2213400000000005</v>
      </c>
    </row>
    <row r="15" spans="1:5" x14ac:dyDescent="0.2">
      <c r="A15" s="99" t="s">
        <v>24</v>
      </c>
      <c r="D15" s="106">
        <v>-1</v>
      </c>
    </row>
    <row r="16" spans="1:5" x14ac:dyDescent="0.2">
      <c r="A16" s="100" t="s">
        <v>25</v>
      </c>
      <c r="D16" s="107">
        <v>2.2213400000000005</v>
      </c>
    </row>
    <row r="17" spans="1:4" x14ac:dyDescent="0.2">
      <c r="A17" s="99" t="s">
        <v>32</v>
      </c>
      <c r="D17" s="106">
        <v>3.1248980097122897E-3</v>
      </c>
    </row>
    <row r="18" spans="1:4" x14ac:dyDescent="0.2">
      <c r="A18" s="99" t="s">
        <v>2</v>
      </c>
      <c r="D18" s="106">
        <v>710.85199999999998</v>
      </c>
    </row>
    <row r="19" spans="1:4" x14ac:dyDescent="0.2">
      <c r="D19" s="108"/>
    </row>
    <row r="20" spans="1:4" x14ac:dyDescent="0.2">
      <c r="A20" s="99" t="s">
        <v>28</v>
      </c>
      <c r="D20" s="109">
        <v>0.31</v>
      </c>
    </row>
    <row r="21" spans="1:4" x14ac:dyDescent="0.2">
      <c r="A21" s="99" t="s">
        <v>29</v>
      </c>
      <c r="D21" s="109">
        <v>0.1595847581827064</v>
      </c>
    </row>
    <row r="22" spans="1:4" x14ac:dyDescent="0.2">
      <c r="A22" s="99" t="s">
        <v>30</v>
      </c>
      <c r="D22" s="109">
        <v>0.10851685393258428</v>
      </c>
    </row>
    <row r="23" spans="1:4" x14ac:dyDescent="0.2">
      <c r="A23" s="99" t="s">
        <v>31</v>
      </c>
      <c r="D23" s="109">
        <v>-0.31042982113033701</v>
      </c>
    </row>
    <row r="24" spans="1:4" x14ac:dyDescent="0.2">
      <c r="D24" s="108"/>
    </row>
    <row r="25" spans="1:4" x14ac:dyDescent="0.2">
      <c r="A25" s="99" t="s">
        <v>93</v>
      </c>
      <c r="D25" s="108"/>
    </row>
    <row r="26" spans="1:4" x14ac:dyDescent="0.2">
      <c r="A26" s="100" t="s">
        <v>97</v>
      </c>
      <c r="D26" s="110">
        <v>0.25</v>
      </c>
    </row>
    <row r="27" spans="1:4" x14ac:dyDescent="0.2">
      <c r="A27" s="99" t="s">
        <v>128</v>
      </c>
      <c r="D27" s="111"/>
    </row>
    <row r="28" spans="1:4" x14ac:dyDescent="0.2">
      <c r="A28" s="100" t="s">
        <v>129</v>
      </c>
      <c r="D28" s="110"/>
    </row>
  </sheetData>
  <pageMargins left="0.7" right="0.7" top="0.75" bottom="0.75" header="0.3" footer="0.3"/>
  <pageSetup paperSize="125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Financial Model</vt:lpstr>
      <vt:lpstr>Revenue Breakdown</vt:lpstr>
      <vt:lpstr>Substantial Holdings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2022-04-27T13:58:56Z</dcterms:created>
  <dcterms:modified xsi:type="dcterms:W3CDTF">2024-10-06T19:51:10Z</dcterms:modified>
</cp:coreProperties>
</file>